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C:\Users\ashle\Dropbox (CTSFP)\CTSFP Team Folder\Research &amp; Analysis\2018 Legislative Session\Comptroller Revenue Tool\January 2022 Updates\"/>
    </mc:Choice>
  </mc:AlternateContent>
  <xr:revisionPtr revIDLastSave="0" documentId="13_ncr:1_{A8FFBD80-71A0-4961-A90A-D89173CC0D1A}" xr6:coauthVersionLast="47" xr6:coauthVersionMax="47" xr10:uidLastSave="{00000000-0000-0000-0000-000000000000}"/>
  <bookViews>
    <workbookView xWindow="-23148" yWindow="-108" windowWidth="23256" windowHeight="12576" tabRatio="763" xr2:uid="{00000000-000D-0000-FFFF-FFFF00000000}"/>
  </bookViews>
  <sheets>
    <sheet name="Cover Page" sheetId="30" r:id="rId1"/>
    <sheet name="Sources" sheetId="32" r:id="rId2"/>
    <sheet name="Tableau - Slides" sheetId="26" r:id="rId3"/>
    <sheet name="Consensus Est." sheetId="29" r:id="rId4"/>
    <sheet name="Tableau - Rates" sheetId="25" r:id="rId5"/>
    <sheet name="Console" sheetId="10" r:id="rId6"/>
    <sheet name="PIT" sheetId="13" r:id="rId7"/>
    <sheet name="PIT - NRPY" sheetId="22" r:id="rId8"/>
    <sheet name="PIT - Total" sheetId="24" r:id="rId9"/>
    <sheet name="Other Tax Rates" sheetId="31" r:id="rId10"/>
    <sheet name="Tax Expenditures" sheetId="33" r:id="rId11"/>
    <sheet name="Single - 1040" sheetId="50" r:id="rId12"/>
    <sheet name="Joint - 1040" sheetId="51" r:id="rId13"/>
    <sheet name="Married Sep. - 1040" sheetId="52" r:id="rId14"/>
    <sheet name="Head of House - 1040" sheetId="53" r:id="rId15"/>
    <sheet name="Single - NRPY" sheetId="54" r:id="rId16"/>
    <sheet name="Joint - NRPY" sheetId="55" r:id="rId17"/>
    <sheet name="Married Sep. - NRPY" sheetId="56" r:id="rId18"/>
    <sheet name="Head of House - NRPY" sheetId="57" r:id="rId19"/>
  </sheets>
  <definedNames>
    <definedName name="_xlnm._FilterDatabase" localSheetId="4" hidden="1">'Tableau - Rates'!$A$1:$M$192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3" i="31" l="1"/>
  <c r="M155" i="25"/>
  <c r="B155" i="25"/>
  <c r="B98" i="25"/>
  <c r="M98" i="25"/>
  <c r="M135" i="25"/>
  <c r="M134" i="25"/>
  <c r="B135" i="25"/>
  <c r="B134" i="25"/>
  <c r="M78" i="25"/>
  <c r="M77" i="25"/>
  <c r="B78" i="25"/>
  <c r="B77" i="25"/>
  <c r="M120" i="25"/>
  <c r="B120" i="25"/>
  <c r="M63" i="25"/>
  <c r="B63" i="25"/>
  <c r="B62" i="25"/>
  <c r="E58" i="33"/>
  <c r="E36" i="33"/>
  <c r="E35" i="33"/>
  <c r="E21" i="33"/>
  <c r="M11" i="25" l="1"/>
  <c r="M60" i="25" l="1"/>
  <c r="M117" i="25"/>
  <c r="E18" i="33"/>
  <c r="M166" i="25"/>
  <c r="M122" i="25" l="1"/>
  <c r="M65" i="25"/>
  <c r="E23" i="33" l="1"/>
  <c r="I23" i="33" s="1"/>
  <c r="B15" i="25" l="1"/>
  <c r="E15" i="25" s="1"/>
  <c r="E35" i="25" s="1"/>
  <c r="E13" i="25"/>
  <c r="B13" i="25" s="1"/>
  <c r="E14" i="25"/>
  <c r="B14" i="25" s="1"/>
  <c r="E33" i="25"/>
  <c r="E42" i="25"/>
  <c r="E41" i="25"/>
  <c r="E40" i="25"/>
  <c r="E39" i="25"/>
  <c r="B16" i="25"/>
  <c r="E16" i="25" s="1"/>
  <c r="E36" i="25" s="1"/>
  <c r="B191" i="25"/>
  <c r="B190" i="25"/>
  <c r="B184" i="25"/>
  <c r="B9" i="25"/>
  <c r="E9" i="25" s="1"/>
  <c r="E29" i="25" s="1"/>
  <c r="B12" i="31"/>
  <c r="B7" i="31"/>
  <c r="B2" i="31"/>
  <c r="I4" i="31" l="1"/>
  <c r="I6" i="31"/>
  <c r="I5" i="31"/>
  <c r="K10" i="25"/>
  <c r="K30" i="25" s="1"/>
  <c r="E34" i="25"/>
  <c r="E31" i="25" l="1"/>
  <c r="B11" i="25"/>
  <c r="E11" i="25" s="1"/>
  <c r="H7" i="10"/>
  <c r="M172" i="25"/>
  <c r="M171" i="25"/>
  <c r="M170" i="25"/>
  <c r="I8" i="31" l="1"/>
  <c r="E48" i="25" s="1"/>
  <c r="I7" i="31"/>
  <c r="M9" i="25"/>
  <c r="M51" i="25"/>
  <c r="M73" i="25"/>
  <c r="E65" i="33"/>
  <c r="E64" i="33"/>
  <c r="E63" i="33"/>
  <c r="E62" i="33"/>
  <c r="E61" i="33"/>
  <c r="E60" i="33"/>
  <c r="E59" i="33"/>
  <c r="E57" i="33"/>
  <c r="E56" i="33"/>
  <c r="E54" i="33"/>
  <c r="E53" i="33"/>
  <c r="E52" i="33"/>
  <c r="E51" i="33"/>
  <c r="E50" i="33"/>
  <c r="E49" i="33"/>
  <c r="E48" i="33"/>
  <c r="E47" i="33"/>
  <c r="E46" i="33"/>
  <c r="E45" i="33"/>
  <c r="E44" i="33"/>
  <c r="E43" i="33"/>
  <c r="E42" i="33"/>
  <c r="E41" i="33"/>
  <c r="E40" i="33"/>
  <c r="E39" i="33"/>
  <c r="E38" i="33"/>
  <c r="E34" i="33"/>
  <c r="E33" i="33"/>
  <c r="I33" i="33" s="1"/>
  <c r="E32" i="33"/>
  <c r="I32" i="33" s="1"/>
  <c r="E31" i="33"/>
  <c r="I31" i="33" s="1"/>
  <c r="E30" i="33"/>
  <c r="I30" i="33" s="1"/>
  <c r="E29" i="33"/>
  <c r="I29" i="33" s="1"/>
  <c r="E28" i="33"/>
  <c r="I28" i="33" s="1"/>
  <c r="E27" i="33"/>
  <c r="I27" i="33" s="1"/>
  <c r="E26" i="33"/>
  <c r="I26" i="33" s="1"/>
  <c r="E25" i="33"/>
  <c r="I25" i="33" s="1"/>
  <c r="E24" i="33"/>
  <c r="I24" i="33" s="1"/>
  <c r="E22" i="33"/>
  <c r="I22" i="33" s="1"/>
  <c r="E20" i="33"/>
  <c r="I20" i="33" s="1"/>
  <c r="E19" i="33"/>
  <c r="I19" i="33" s="1"/>
  <c r="E17" i="33"/>
  <c r="I17" i="33" s="1"/>
  <c r="E16" i="33"/>
  <c r="I16" i="33" s="1"/>
  <c r="E15" i="33"/>
  <c r="I15" i="33" s="1"/>
  <c r="E14" i="33"/>
  <c r="I14" i="33" s="1"/>
  <c r="E13" i="33"/>
  <c r="I13" i="33" s="1"/>
  <c r="E12" i="33"/>
  <c r="I12" i="33" s="1"/>
  <c r="E11" i="33"/>
  <c r="I11" i="33" s="1"/>
  <c r="E10" i="33"/>
  <c r="I10" i="33" s="1"/>
  <c r="E8" i="33"/>
  <c r="E7" i="33"/>
  <c r="E6" i="33"/>
  <c r="I10" i="31"/>
  <c r="E38" i="25" s="1"/>
  <c r="E18" i="25" s="1"/>
  <c r="B18" i="25" s="1"/>
  <c r="I9" i="31"/>
  <c r="E37" i="25" s="1"/>
  <c r="E17" i="25" s="1"/>
  <c r="B17" i="25" s="1"/>
  <c r="B10" i="25"/>
  <c r="C3" i="24"/>
  <c r="D3" i="24" s="1"/>
  <c r="E3" i="24" s="1"/>
  <c r="F3" i="24" s="1"/>
  <c r="G3" i="24" s="1"/>
  <c r="H3" i="24" s="1"/>
  <c r="I3" i="24" s="1"/>
  <c r="J3" i="24" s="1"/>
  <c r="K3" i="24" s="1"/>
  <c r="L3" i="24" s="1"/>
  <c r="M3" i="24" s="1"/>
  <c r="O3" i="24" s="1"/>
  <c r="P3" i="24" s="1"/>
  <c r="Q3" i="24" s="1"/>
  <c r="R3" i="24" s="1"/>
  <c r="S3" i="24" s="1"/>
  <c r="T3" i="24" s="1"/>
  <c r="U3" i="24" s="1"/>
  <c r="V3" i="24" s="1"/>
  <c r="W3" i="24" s="1"/>
  <c r="X3" i="24" s="1"/>
  <c r="Y3" i="24" s="1"/>
  <c r="Z3" i="24" s="1"/>
  <c r="C5" i="22"/>
  <c r="D5" i="22" s="1"/>
  <c r="E5" i="22" s="1"/>
  <c r="F5" i="22" s="1"/>
  <c r="G5" i="22" s="1"/>
  <c r="H5" i="22" s="1"/>
  <c r="I5" i="22" s="1"/>
  <c r="J5" i="22" s="1"/>
  <c r="K5" i="22" s="1"/>
  <c r="L5" i="22" s="1"/>
  <c r="M5" i="22" s="1"/>
  <c r="N5" i="22" s="1"/>
  <c r="O5" i="22" s="1"/>
  <c r="P5" i="22" s="1"/>
  <c r="Q5" i="22" s="1"/>
  <c r="R5" i="22" s="1"/>
  <c r="S5" i="22" s="1"/>
  <c r="T5" i="22" s="1"/>
  <c r="U5" i="22" s="1"/>
  <c r="V5" i="22" s="1"/>
  <c r="W5" i="22" s="1"/>
  <c r="X5" i="22" s="1"/>
  <c r="Y5" i="22" s="1"/>
  <c r="Z5" i="22" s="1"/>
  <c r="AA5" i="22" s="1"/>
  <c r="AB5" i="22" s="1"/>
  <c r="AC5" i="22" s="1"/>
  <c r="AD5" i="22" s="1"/>
  <c r="AE5" i="22" s="1"/>
  <c r="AF5" i="22" s="1"/>
  <c r="C5" i="13"/>
  <c r="D5" i="13" s="1"/>
  <c r="E5" i="13" s="1"/>
  <c r="F5" i="13" s="1"/>
  <c r="G5" i="13" s="1"/>
  <c r="H5" i="13" s="1"/>
  <c r="I5" i="13" s="1"/>
  <c r="J5" i="13" s="1"/>
  <c r="K5" i="13" s="1"/>
  <c r="L5" i="13" s="1"/>
  <c r="M5" i="13" s="1"/>
  <c r="N5" i="13" s="1"/>
  <c r="O5" i="13" s="1"/>
  <c r="P5" i="13" s="1"/>
  <c r="Q5" i="13" s="1"/>
  <c r="R5" i="13" s="1"/>
  <c r="S5" i="13" s="1"/>
  <c r="T5" i="13" s="1"/>
  <c r="U5" i="13" s="1"/>
  <c r="V5" i="13" s="1"/>
  <c r="W5" i="13" s="1"/>
  <c r="X5" i="13" s="1"/>
  <c r="Y5" i="13" s="1"/>
  <c r="Z5" i="13" s="1"/>
  <c r="AA5" i="13" s="1"/>
  <c r="AB5" i="13" s="1"/>
  <c r="AC5" i="13" s="1"/>
  <c r="AD5" i="13" s="1"/>
  <c r="AE5" i="13" s="1"/>
  <c r="AF5" i="13" s="1"/>
  <c r="M42" i="25"/>
  <c r="M41" i="25"/>
  <c r="M40" i="25"/>
  <c r="M39" i="25"/>
  <c r="M12" i="25"/>
  <c r="M20" i="25"/>
  <c r="M164" i="25"/>
  <c r="M173" i="25"/>
  <c r="M163" i="25"/>
  <c r="M56" i="25"/>
  <c r="M113" i="25"/>
  <c r="M169" i="25"/>
  <c r="M168" i="25"/>
  <c r="M167" i="25"/>
  <c r="M165" i="25"/>
  <c r="M2" i="25"/>
  <c r="M3" i="25"/>
  <c r="M4" i="25"/>
  <c r="M5" i="25"/>
  <c r="M6" i="25"/>
  <c r="M7" i="25"/>
  <c r="M8" i="25"/>
  <c r="M10" i="25"/>
  <c r="M14" i="25"/>
  <c r="M15" i="25"/>
  <c r="M16" i="25"/>
  <c r="M17" i="25"/>
  <c r="M18" i="25"/>
  <c r="M21" i="25"/>
  <c r="M22" i="25"/>
  <c r="M23" i="25"/>
  <c r="M24" i="25"/>
  <c r="M25" i="25"/>
  <c r="M26" i="25"/>
  <c r="M27" i="25"/>
  <c r="M30" i="25"/>
  <c r="M34" i="25"/>
  <c r="M35" i="25"/>
  <c r="M36" i="25"/>
  <c r="M37" i="25"/>
  <c r="M38" i="25"/>
  <c r="M49" i="25"/>
  <c r="M50" i="25"/>
  <c r="M52" i="25"/>
  <c r="M53" i="25"/>
  <c r="M54" i="25"/>
  <c r="M55" i="25"/>
  <c r="M57" i="25"/>
  <c r="M58" i="25"/>
  <c r="M59" i="25"/>
  <c r="M61" i="25"/>
  <c r="M62" i="25"/>
  <c r="M64" i="25"/>
  <c r="M66" i="25"/>
  <c r="M67" i="25"/>
  <c r="M68" i="25"/>
  <c r="M69" i="25"/>
  <c r="M70" i="25"/>
  <c r="M71" i="25"/>
  <c r="M72" i="25"/>
  <c r="M74" i="25"/>
  <c r="M75" i="25"/>
  <c r="M76" i="25"/>
  <c r="M79" i="25"/>
  <c r="M80" i="25"/>
  <c r="M81" i="25"/>
  <c r="M82" i="25"/>
  <c r="M83" i="25"/>
  <c r="M84" i="25"/>
  <c r="M85" i="25"/>
  <c r="M86" i="25"/>
  <c r="M87" i="25"/>
  <c r="M88" i="25"/>
  <c r="M89" i="25"/>
  <c r="M90" i="25"/>
  <c r="M91" i="25"/>
  <c r="M92" i="25"/>
  <c r="M93" i="25"/>
  <c r="M94" i="25"/>
  <c r="M95" i="25"/>
  <c r="M96" i="25"/>
  <c r="M97" i="25"/>
  <c r="M99" i="25"/>
  <c r="M100" i="25"/>
  <c r="M101" i="25"/>
  <c r="M102" i="25"/>
  <c r="M103" i="25"/>
  <c r="M104" i="25"/>
  <c r="M105" i="25"/>
  <c r="M106" i="25"/>
  <c r="M107" i="25"/>
  <c r="M108" i="25"/>
  <c r="M109" i="25"/>
  <c r="M110" i="25"/>
  <c r="M111" i="25"/>
  <c r="M112" i="25"/>
  <c r="M114" i="25"/>
  <c r="M115" i="25"/>
  <c r="M116" i="25"/>
  <c r="M118" i="25"/>
  <c r="M119" i="25"/>
  <c r="M121" i="25"/>
  <c r="M123" i="25"/>
  <c r="M124" i="25"/>
  <c r="M125" i="25"/>
  <c r="M126" i="25"/>
  <c r="M127" i="25"/>
  <c r="M128" i="25"/>
  <c r="M129" i="25"/>
  <c r="M130" i="25"/>
  <c r="M131" i="25"/>
  <c r="M132" i="25"/>
  <c r="M133" i="25"/>
  <c r="M136" i="25"/>
  <c r="M137" i="25"/>
  <c r="M138" i="25"/>
  <c r="M139" i="25"/>
  <c r="M140" i="25"/>
  <c r="M141" i="25"/>
  <c r="M142" i="25"/>
  <c r="M143" i="25"/>
  <c r="M144" i="25"/>
  <c r="M145" i="25"/>
  <c r="M146" i="25"/>
  <c r="M147" i="25"/>
  <c r="M148" i="25"/>
  <c r="M149" i="25"/>
  <c r="M150" i="25"/>
  <c r="M151" i="25"/>
  <c r="M152" i="25"/>
  <c r="M153" i="25"/>
  <c r="M154" i="25"/>
  <c r="M156" i="25"/>
  <c r="M157" i="25"/>
  <c r="M158" i="25"/>
  <c r="M159" i="25"/>
  <c r="M160" i="25"/>
  <c r="M161" i="25"/>
  <c r="M162" i="25"/>
  <c r="A17" i="24"/>
  <c r="M6" i="24" s="1"/>
  <c r="Y6" i="24" s="1"/>
  <c r="A16" i="24"/>
  <c r="L6" i="24" s="1"/>
  <c r="X6" i="24" s="1"/>
  <c r="A15" i="24"/>
  <c r="K6" i="24"/>
  <c r="W6" i="24" s="1"/>
  <c r="A14" i="24"/>
  <c r="J6" i="24" s="1"/>
  <c r="V6" i="24" s="1"/>
  <c r="A13" i="24"/>
  <c r="I6" i="24"/>
  <c r="U6" i="24" s="1"/>
  <c r="A12" i="24"/>
  <c r="H6" i="24" s="1"/>
  <c r="T6" i="24" s="1"/>
  <c r="A11" i="24"/>
  <c r="G6" i="24"/>
  <c r="S6" i="24" s="1"/>
  <c r="A10" i="24"/>
  <c r="F6" i="24" s="1"/>
  <c r="R6" i="24" s="1"/>
  <c r="A9" i="24"/>
  <c r="E6" i="24" s="1"/>
  <c r="Q6" i="24" s="1"/>
  <c r="A8" i="24"/>
  <c r="D6" i="24" s="1"/>
  <c r="P6" i="24" s="1"/>
  <c r="A7" i="24"/>
  <c r="C6" i="24"/>
  <c r="O6" i="24" s="1"/>
  <c r="B61" i="22"/>
  <c r="A61" i="22"/>
  <c r="B60" i="22"/>
  <c r="A60" i="22"/>
  <c r="B59" i="22"/>
  <c r="A59" i="22"/>
  <c r="B58" i="22"/>
  <c r="A58" i="22"/>
  <c r="B57" i="22"/>
  <c r="A57" i="22"/>
  <c r="B56" i="22"/>
  <c r="A56" i="22"/>
  <c r="B55" i="22"/>
  <c r="A55" i="22"/>
  <c r="B54" i="22"/>
  <c r="A54" i="22"/>
  <c r="B53" i="22"/>
  <c r="A53" i="22"/>
  <c r="B52" i="22"/>
  <c r="A52" i="22"/>
  <c r="B51" i="22"/>
  <c r="A51" i="22"/>
  <c r="B47" i="22"/>
  <c r="A47" i="22"/>
  <c r="B46" i="22"/>
  <c r="A46" i="22"/>
  <c r="B45" i="22"/>
  <c r="A45" i="22"/>
  <c r="B44" i="22"/>
  <c r="A44" i="22"/>
  <c r="B43" i="22"/>
  <c r="A43" i="22"/>
  <c r="B42" i="22"/>
  <c r="A42" i="22"/>
  <c r="B41" i="22"/>
  <c r="A41" i="22"/>
  <c r="B40" i="22"/>
  <c r="A40" i="22"/>
  <c r="B39" i="22"/>
  <c r="A39" i="22"/>
  <c r="B38" i="22"/>
  <c r="A38" i="22"/>
  <c r="B37" i="22"/>
  <c r="A37" i="22"/>
  <c r="B33" i="22"/>
  <c r="A33" i="22"/>
  <c r="B32" i="22"/>
  <c r="A32" i="22"/>
  <c r="B31" i="22"/>
  <c r="A31" i="22"/>
  <c r="B30" i="22"/>
  <c r="A30" i="22"/>
  <c r="B29" i="22"/>
  <c r="A29" i="22"/>
  <c r="B28" i="22"/>
  <c r="A28" i="22"/>
  <c r="B27" i="22"/>
  <c r="A27" i="22"/>
  <c r="B26" i="22"/>
  <c r="A26" i="22"/>
  <c r="B25" i="22"/>
  <c r="A25" i="22"/>
  <c r="B24" i="22"/>
  <c r="A24" i="22"/>
  <c r="B23" i="22"/>
  <c r="A23" i="22"/>
  <c r="B19" i="22"/>
  <c r="A19" i="22"/>
  <c r="T8" i="22" s="1"/>
  <c r="AE8" i="22" s="1"/>
  <c r="B18" i="22"/>
  <c r="A18" i="22"/>
  <c r="S8" i="22"/>
  <c r="AD8" i="22" s="1"/>
  <c r="B17" i="22"/>
  <c r="A17" i="22"/>
  <c r="R8" i="22" s="1"/>
  <c r="AC8" i="22" s="1"/>
  <c r="B16" i="22"/>
  <c r="A16" i="22"/>
  <c r="Q8" i="22" s="1"/>
  <c r="AB8" i="22" s="1"/>
  <c r="B15" i="22"/>
  <c r="A15" i="22"/>
  <c r="P8" i="22" s="1"/>
  <c r="AA8" i="22" s="1"/>
  <c r="B14" i="22"/>
  <c r="A14" i="22"/>
  <c r="O8" i="22" s="1"/>
  <c r="Z8" i="22" s="1"/>
  <c r="B13" i="22"/>
  <c r="A13" i="22"/>
  <c r="N8" i="22" s="1"/>
  <c r="Y8" i="22" s="1"/>
  <c r="B12" i="22"/>
  <c r="A12" i="22"/>
  <c r="M8" i="22"/>
  <c r="X8" i="22" s="1"/>
  <c r="B11" i="22"/>
  <c r="A11" i="22"/>
  <c r="L8" i="22"/>
  <c r="W8" i="22" s="1"/>
  <c r="B10" i="22"/>
  <c r="A10" i="22"/>
  <c r="K8" i="22" s="1"/>
  <c r="V8" i="22" s="1"/>
  <c r="B9" i="22"/>
  <c r="A9" i="22"/>
  <c r="J8" i="22" s="1"/>
  <c r="U8" i="22" s="1"/>
  <c r="B61" i="13"/>
  <c r="B60" i="13"/>
  <c r="B59" i="13"/>
  <c r="B58" i="13"/>
  <c r="B57" i="13"/>
  <c r="B56" i="13"/>
  <c r="B55" i="13"/>
  <c r="B54" i="13"/>
  <c r="B53" i="13"/>
  <c r="B52" i="13"/>
  <c r="B51" i="13"/>
  <c r="B47" i="13"/>
  <c r="B46" i="13"/>
  <c r="B45" i="13"/>
  <c r="B44" i="13"/>
  <c r="B43" i="13"/>
  <c r="B42" i="13"/>
  <c r="B41" i="13"/>
  <c r="B40" i="13"/>
  <c r="B39" i="13"/>
  <c r="B38" i="13"/>
  <c r="B37" i="13"/>
  <c r="B33" i="13"/>
  <c r="B32" i="13"/>
  <c r="B31" i="13"/>
  <c r="B30" i="13"/>
  <c r="B29" i="13"/>
  <c r="B28" i="13"/>
  <c r="B27" i="13"/>
  <c r="B26" i="13"/>
  <c r="B25" i="13"/>
  <c r="B24" i="13"/>
  <c r="B23" i="13"/>
  <c r="A61" i="13"/>
  <c r="A60" i="13"/>
  <c r="A59" i="13"/>
  <c r="A58" i="13"/>
  <c r="A57" i="13"/>
  <c r="A56" i="13"/>
  <c r="A55" i="13"/>
  <c r="A54" i="13"/>
  <c r="A53" i="13"/>
  <c r="A52" i="13"/>
  <c r="A51" i="13"/>
  <c r="A47" i="13"/>
  <c r="A46" i="13"/>
  <c r="A45" i="13"/>
  <c r="A44" i="13"/>
  <c r="A43" i="13"/>
  <c r="A42" i="13"/>
  <c r="A41" i="13"/>
  <c r="A40" i="13"/>
  <c r="A39" i="13"/>
  <c r="A38" i="13"/>
  <c r="A37" i="13"/>
  <c r="A33" i="13"/>
  <c r="A32" i="13"/>
  <c r="A31" i="13"/>
  <c r="A30" i="13"/>
  <c r="A29" i="13"/>
  <c r="A28" i="13"/>
  <c r="A27" i="13"/>
  <c r="A26" i="13"/>
  <c r="A25" i="13"/>
  <c r="A24" i="13"/>
  <c r="A23" i="13"/>
  <c r="B19" i="13"/>
  <c r="B18" i="13"/>
  <c r="B17" i="13"/>
  <c r="B16" i="13"/>
  <c r="B15" i="13"/>
  <c r="B14" i="13"/>
  <c r="B13" i="13"/>
  <c r="B12" i="13"/>
  <c r="B11" i="13"/>
  <c r="B10" i="13"/>
  <c r="B9" i="13"/>
  <c r="A19" i="13"/>
  <c r="T8" i="13" s="1"/>
  <c r="AE8" i="13" s="1"/>
  <c r="A18" i="13"/>
  <c r="S8" i="13" s="1"/>
  <c r="AD8" i="13" s="1"/>
  <c r="A17" i="13"/>
  <c r="R8" i="13" s="1"/>
  <c r="AC8" i="13" s="1"/>
  <c r="A16" i="13"/>
  <c r="Q8" i="13" s="1"/>
  <c r="AB8" i="13" s="1"/>
  <c r="A15" i="13"/>
  <c r="P8" i="13"/>
  <c r="AA8" i="13" s="1"/>
  <c r="A14" i="13"/>
  <c r="O8" i="13" s="1"/>
  <c r="Z8" i="13" s="1"/>
  <c r="A13" i="13"/>
  <c r="N8" i="13" s="1"/>
  <c r="Y8" i="13" s="1"/>
  <c r="A12" i="13"/>
  <c r="M8" i="13" s="1"/>
  <c r="X8" i="13" s="1"/>
  <c r="A11" i="13"/>
  <c r="L8" i="13" s="1"/>
  <c r="W8" i="13" s="1"/>
  <c r="A10" i="13"/>
  <c r="K8" i="13" s="1"/>
  <c r="V8" i="13" s="1"/>
  <c r="A9" i="13"/>
  <c r="J8" i="13" s="1"/>
  <c r="U8" i="13" s="1"/>
  <c r="D27" i="10"/>
  <c r="B27" i="10"/>
  <c r="E22" i="10"/>
  <c r="D22" i="10"/>
  <c r="C22" i="10"/>
  <c r="B22" i="10"/>
  <c r="C27" i="10"/>
  <c r="E27" i="10"/>
  <c r="B60" i="25" l="1"/>
  <c r="B117" i="25"/>
  <c r="B12" i="25"/>
  <c r="E12" i="25" s="1"/>
  <c r="E32" i="25"/>
  <c r="B122" i="25"/>
  <c r="B65" i="25"/>
  <c r="B107" i="25"/>
  <c r="B111" i="25"/>
  <c r="B115" i="25"/>
  <c r="B121" i="25"/>
  <c r="B124" i="25"/>
  <c r="B128" i="25"/>
  <c r="B132" i="25"/>
  <c r="B138" i="25"/>
  <c r="B140" i="25"/>
  <c r="B144" i="25"/>
  <c r="B148" i="25"/>
  <c r="B152" i="25"/>
  <c r="B157" i="25"/>
  <c r="B161" i="25"/>
  <c r="B64" i="25"/>
  <c r="B67" i="25"/>
  <c r="B71" i="25"/>
  <c r="B75" i="25"/>
  <c r="B81" i="25"/>
  <c r="B83" i="25"/>
  <c r="B87" i="25"/>
  <c r="B91" i="25"/>
  <c r="B95" i="25"/>
  <c r="B100" i="25"/>
  <c r="B104" i="25"/>
  <c r="B74" i="25"/>
  <c r="B90" i="25"/>
  <c r="B108" i="25"/>
  <c r="B112" i="25"/>
  <c r="B116" i="25"/>
  <c r="B125" i="25"/>
  <c r="B129" i="25"/>
  <c r="B133" i="25"/>
  <c r="B139" i="25"/>
  <c r="B141" i="25"/>
  <c r="B145" i="25"/>
  <c r="B149" i="25"/>
  <c r="B153" i="25"/>
  <c r="B158" i="25"/>
  <c r="B68" i="25"/>
  <c r="B72" i="25"/>
  <c r="B76" i="25"/>
  <c r="B82" i="25"/>
  <c r="B84" i="25"/>
  <c r="B88" i="25"/>
  <c r="B92" i="25"/>
  <c r="B96" i="25"/>
  <c r="B101" i="25"/>
  <c r="B70" i="25"/>
  <c r="B99" i="25"/>
  <c r="B109" i="25"/>
  <c r="B113" i="25"/>
  <c r="B118" i="25"/>
  <c r="B123" i="25"/>
  <c r="B126" i="25"/>
  <c r="B130" i="25"/>
  <c r="B136" i="25"/>
  <c r="B142" i="25"/>
  <c r="B146" i="25"/>
  <c r="B150" i="25"/>
  <c r="B154" i="25"/>
  <c r="B159" i="25"/>
  <c r="B162" i="25"/>
  <c r="B66" i="25"/>
  <c r="B69" i="25"/>
  <c r="B73" i="25"/>
  <c r="B79" i="25"/>
  <c r="B85" i="25"/>
  <c r="B89" i="25"/>
  <c r="B93" i="25"/>
  <c r="B97" i="25"/>
  <c r="B102" i="25"/>
  <c r="B105" i="25"/>
  <c r="B110" i="25"/>
  <c r="B114" i="25"/>
  <c r="B119" i="25"/>
  <c r="B127" i="25"/>
  <c r="B131" i="25"/>
  <c r="B137" i="25"/>
  <c r="B143" i="25"/>
  <c r="B147" i="25"/>
  <c r="B151" i="25"/>
  <c r="B156" i="25"/>
  <c r="B160" i="25"/>
  <c r="B106" i="25"/>
  <c r="B80" i="25"/>
  <c r="B86" i="25"/>
  <c r="B94" i="25"/>
  <c r="B103" i="25"/>
  <c r="E10" i="25"/>
  <c r="E30" i="25" s="1"/>
  <c r="K15" i="25"/>
  <c r="K35" i="25" s="1"/>
  <c r="E19" i="25"/>
  <c r="B19" i="25" s="1"/>
  <c r="E47" i="25"/>
  <c r="B50" i="25"/>
  <c r="B51" i="25"/>
  <c r="B55" i="25"/>
  <c r="B59" i="25"/>
  <c r="B49" i="25"/>
  <c r="B61" i="25"/>
  <c r="B58" i="25"/>
  <c r="B52" i="25"/>
  <c r="B56" i="25"/>
  <c r="B53" i="25"/>
  <c r="B57" i="25"/>
  <c r="B54" i="25"/>
  <c r="B183" i="25"/>
  <c r="D43" i="13"/>
  <c r="AF33" i="22"/>
  <c r="C53" i="13"/>
  <c r="AF33" i="13"/>
  <c r="D56" i="22"/>
  <c r="AF59" i="22"/>
  <c r="AF13" i="13"/>
  <c r="AF10" i="22"/>
  <c r="AF61" i="22"/>
  <c r="AF9" i="13"/>
  <c r="D59" i="22"/>
  <c r="C33" i="22"/>
  <c r="D14" i="13"/>
  <c r="C60" i="13"/>
  <c r="AF51" i="13"/>
  <c r="AF23" i="22"/>
  <c r="AF11" i="22"/>
  <c r="D16" i="13"/>
  <c r="C47" i="13"/>
  <c r="AF57" i="22"/>
  <c r="C60" i="22"/>
  <c r="C51" i="13"/>
  <c r="C23" i="13"/>
  <c r="D13" i="13"/>
  <c r="C31" i="22"/>
  <c r="D29" i="13"/>
  <c r="D51" i="13"/>
  <c r="D42" i="13"/>
  <c r="AF27" i="22"/>
  <c r="C32" i="22"/>
  <c r="C39" i="13"/>
  <c r="AF46" i="13"/>
  <c r="C28" i="22"/>
  <c r="D58" i="13"/>
  <c r="C33" i="13"/>
  <c r="C54" i="13"/>
  <c r="D60" i="13"/>
  <c r="AF28" i="22"/>
  <c r="C38" i="22"/>
  <c r="C10" i="22"/>
  <c r="C29" i="22"/>
  <c r="D41" i="13"/>
  <c r="C58" i="22"/>
  <c r="AF41" i="22"/>
  <c r="AF61" i="13"/>
  <c r="D29" i="22"/>
  <c r="AF41" i="13"/>
  <c r="C24" i="13"/>
  <c r="D27" i="13"/>
  <c r="AF29" i="22"/>
  <c r="AF16" i="22"/>
  <c r="D18" i="13"/>
  <c r="D24" i="13"/>
  <c r="AF12" i="13"/>
  <c r="AF11" i="13"/>
  <c r="D52" i="13"/>
  <c r="D42" i="22"/>
  <c r="AF17" i="13"/>
  <c r="C12" i="13"/>
  <c r="AF47" i="22"/>
  <c r="D11" i="13"/>
  <c r="D31" i="13"/>
  <c r="C27" i="13"/>
  <c r="C56" i="13"/>
  <c r="C14" i="22"/>
  <c r="AF42" i="13"/>
  <c r="D54" i="22"/>
  <c r="AF37" i="22"/>
  <c r="AF37" i="13"/>
  <c r="C18" i="13"/>
  <c r="D30" i="22"/>
  <c r="C42" i="22"/>
  <c r="AF18" i="22"/>
  <c r="D10" i="22"/>
  <c r="D58" i="22"/>
  <c r="C26" i="22"/>
  <c r="AF29" i="13"/>
  <c r="C26" i="13"/>
  <c r="AF28" i="13"/>
  <c r="D30" i="13"/>
  <c r="C23" i="22"/>
  <c r="AF30" i="22"/>
  <c r="D45" i="13"/>
  <c r="C53" i="22"/>
  <c r="C42" i="13"/>
  <c r="AF17" i="22"/>
  <c r="AF57" i="13"/>
  <c r="D32" i="22"/>
  <c r="D47" i="13"/>
  <c r="D56" i="13"/>
  <c r="C16" i="13"/>
  <c r="C17" i="13"/>
  <c r="AF51" i="22"/>
  <c r="AF43" i="22"/>
  <c r="C27" i="22"/>
  <c r="AF42" i="22"/>
  <c r="D27" i="22"/>
  <c r="C29" i="13"/>
  <c r="AF23" i="13"/>
  <c r="AF16" i="13"/>
  <c r="D14" i="22"/>
  <c r="C13" i="22"/>
  <c r="C43" i="13"/>
  <c r="D17" i="22"/>
  <c r="D28" i="22"/>
  <c r="AF27" i="13"/>
  <c r="D61" i="13"/>
  <c r="C28" i="13"/>
  <c r="C11" i="13"/>
  <c r="D37" i="13"/>
  <c r="AF14" i="22"/>
  <c r="C55" i="22"/>
  <c r="C44" i="22"/>
  <c r="AF39" i="22"/>
  <c r="D59" i="13"/>
  <c r="AF24" i="22"/>
  <c r="C31" i="13"/>
  <c r="D53" i="22"/>
  <c r="D24" i="22"/>
  <c r="AF52" i="13"/>
  <c r="D9" i="13"/>
  <c r="D13" i="22"/>
  <c r="D40" i="13"/>
  <c r="AF47" i="13"/>
  <c r="AF43" i="13"/>
  <c r="D33" i="13"/>
  <c r="D15" i="22"/>
  <c r="D39" i="13"/>
  <c r="AF53" i="13"/>
  <c r="D47" i="22"/>
  <c r="D12" i="22"/>
  <c r="D57" i="13"/>
  <c r="AF54" i="13"/>
  <c r="D38" i="13"/>
  <c r="D23" i="22"/>
  <c r="AF59" i="13"/>
  <c r="AF19" i="22"/>
  <c r="C15" i="13"/>
  <c r="C14" i="13"/>
  <c r="D60" i="22"/>
  <c r="D44" i="22"/>
  <c r="D11" i="22"/>
  <c r="C45" i="13"/>
  <c r="C51" i="22"/>
  <c r="C46" i="22"/>
  <c r="C37" i="13"/>
  <c r="D23" i="13"/>
  <c r="D12" i="13"/>
  <c r="C32" i="13"/>
  <c r="AF25" i="13"/>
  <c r="AF38" i="22"/>
  <c r="C61" i="13"/>
  <c r="AF26" i="22"/>
  <c r="D57" i="22"/>
  <c r="AF56" i="22"/>
  <c r="C9" i="13"/>
  <c r="C38" i="13"/>
  <c r="AF55" i="13"/>
  <c r="C54" i="22"/>
  <c r="D32" i="13"/>
  <c r="C57" i="22"/>
  <c r="AF58" i="13"/>
  <c r="AF9" i="22"/>
  <c r="D55" i="22"/>
  <c r="D26" i="13"/>
  <c r="D19" i="13"/>
  <c r="C17" i="22"/>
  <c r="AF40" i="22"/>
  <c r="D31" i="22"/>
  <c r="AF40" i="13"/>
  <c r="D45" i="22"/>
  <c r="C40" i="13"/>
  <c r="C44" i="13"/>
  <c r="AF44" i="22"/>
  <c r="C43" i="22"/>
  <c r="C57" i="13"/>
  <c r="AF26" i="13"/>
  <c r="D52" i="22"/>
  <c r="D33" i="22"/>
  <c r="D44" i="13"/>
  <c r="C45" i="22"/>
  <c r="AF52" i="22"/>
  <c r="C41" i="13"/>
  <c r="D28" i="13"/>
  <c r="AF38" i="13"/>
  <c r="C55" i="13"/>
  <c r="C13" i="13"/>
  <c r="C58" i="13"/>
  <c r="D17" i="13"/>
  <c r="C18" i="22"/>
  <c r="D43" i="22"/>
  <c r="AF45" i="22"/>
  <c r="C16" i="22"/>
  <c r="C59" i="22"/>
  <c r="AF25" i="22"/>
  <c r="D25" i="22"/>
  <c r="AF31" i="13"/>
  <c r="C52" i="22"/>
  <c r="C24" i="22"/>
  <c r="C15" i="22"/>
  <c r="D53" i="13"/>
  <c r="D37" i="22"/>
  <c r="D46" i="22"/>
  <c r="C25" i="22"/>
  <c r="AF60" i="22"/>
  <c r="C40" i="22"/>
  <c r="D26" i="22"/>
  <c r="C52" i="13"/>
  <c r="AF55" i="22"/>
  <c r="D15" i="13"/>
  <c r="D41" i="22"/>
  <c r="AF19" i="13"/>
  <c r="C39" i="22"/>
  <c r="D54" i="13"/>
  <c r="AF10" i="13"/>
  <c r="D61" i="22"/>
  <c r="C9" i="22"/>
  <c r="D38" i="22"/>
  <c r="D51" i="22"/>
  <c r="AF13" i="22"/>
  <c r="C19" i="22"/>
  <c r="D19" i="22"/>
  <c r="AF24" i="13"/>
  <c r="AF32" i="22"/>
  <c r="D9" i="22"/>
  <c r="AF15" i="22"/>
  <c r="AF53" i="22"/>
  <c r="AF30" i="13"/>
  <c r="AF32" i="13"/>
  <c r="C61" i="22"/>
  <c r="AF12" i="22"/>
  <c r="C30" i="13"/>
  <c r="AF58" i="22"/>
  <c r="AF56" i="13"/>
  <c r="D39" i="22"/>
  <c r="C10" i="13"/>
  <c r="C47" i="22"/>
  <c r="D10" i="13"/>
  <c r="D46" i="13"/>
  <c r="AF45" i="13"/>
  <c r="D18" i="22"/>
  <c r="C56" i="22"/>
  <c r="D40" i="22"/>
  <c r="C25" i="13"/>
  <c r="D16" i="22"/>
  <c r="C59" i="13"/>
  <c r="D25" i="13"/>
  <c r="AF39" i="13"/>
  <c r="AF46" i="22"/>
  <c r="AF31" i="22"/>
  <c r="AF60" i="13"/>
  <c r="AF18" i="13"/>
  <c r="AF14" i="13"/>
  <c r="AF44" i="13"/>
  <c r="C41" i="22"/>
  <c r="C11" i="22"/>
  <c r="C19" i="13"/>
  <c r="AF54" i="22"/>
  <c r="C37" i="22"/>
  <c r="C46" i="13"/>
  <c r="C30" i="22"/>
  <c r="C12" i="22"/>
  <c r="AF15" i="13"/>
  <c r="D55" i="13"/>
  <c r="B7" i="24" l="1"/>
  <c r="I7" i="10"/>
  <c r="J7" i="10" s="1"/>
  <c r="B9" i="24"/>
  <c r="E52" i="22"/>
  <c r="E43" i="13"/>
  <c r="E45" i="13"/>
  <c r="E40" i="22"/>
  <c r="E59" i="13"/>
  <c r="E57" i="13"/>
  <c r="E51" i="13"/>
  <c r="E26" i="22"/>
  <c r="E13" i="22"/>
  <c r="E25" i="13"/>
  <c r="E61" i="22"/>
  <c r="E40" i="13"/>
  <c r="E24" i="22"/>
  <c r="B10" i="24"/>
  <c r="E41" i="22"/>
  <c r="E60" i="22"/>
  <c r="E42" i="13"/>
  <c r="E31" i="13"/>
  <c r="B12" i="24"/>
  <c r="E11" i="22"/>
  <c r="E41" i="13"/>
  <c r="E53" i="22"/>
  <c r="E32" i="22"/>
  <c r="E29" i="13"/>
  <c r="E10" i="22"/>
  <c r="E19" i="13"/>
  <c r="E18" i="22"/>
  <c r="E33" i="22"/>
  <c r="E38" i="13"/>
  <c r="E13" i="13"/>
  <c r="E15" i="22"/>
  <c r="E44" i="13"/>
  <c r="E53" i="13"/>
  <c r="E17" i="22"/>
  <c r="E47" i="22"/>
  <c r="E37" i="13"/>
  <c r="E37" i="22"/>
  <c r="E23" i="13"/>
  <c r="E26" i="13"/>
  <c r="E9" i="13"/>
  <c r="B17" i="24"/>
  <c r="E58" i="22"/>
  <c r="E56" i="22"/>
  <c r="E54" i="13"/>
  <c r="E15" i="13"/>
  <c r="E24" i="13"/>
  <c r="E12" i="22"/>
  <c r="E27" i="13"/>
  <c r="E54" i="22"/>
  <c r="E17" i="13"/>
  <c r="E30" i="22"/>
  <c r="E39" i="22"/>
  <c r="E61" i="13"/>
  <c r="E31" i="22"/>
  <c r="E28" i="13"/>
  <c r="B11" i="24"/>
  <c r="E18" i="13"/>
  <c r="E45" i="22"/>
  <c r="E14" i="13"/>
  <c r="E27" i="22"/>
  <c r="E58" i="13"/>
  <c r="E55" i="22"/>
  <c r="E23" i="22"/>
  <c r="E43" i="22"/>
  <c r="E46" i="22"/>
  <c r="E30" i="13"/>
  <c r="E46" i="13"/>
  <c r="B8" i="24"/>
  <c r="E19" i="22"/>
  <c r="E16" i="13"/>
  <c r="E14" i="22"/>
  <c r="E12" i="13"/>
  <c r="E39" i="13"/>
  <c r="E57" i="22"/>
  <c r="E60" i="13"/>
  <c r="E32" i="13"/>
  <c r="B14" i="24"/>
  <c r="E33" i="13"/>
  <c r="E52" i="13"/>
  <c r="E11" i="13"/>
  <c r="E28" i="22"/>
  <c r="E47" i="13"/>
  <c r="E51" i="22"/>
  <c r="E59" i="22"/>
  <c r="E56" i="13"/>
  <c r="E9" i="22"/>
  <c r="E10" i="13"/>
  <c r="E42" i="22"/>
  <c r="B16" i="24"/>
  <c r="E25" i="22"/>
  <c r="E29" i="22"/>
  <c r="E44" i="22"/>
  <c r="E55" i="13"/>
  <c r="E16" i="22"/>
  <c r="B13" i="24"/>
  <c r="E38" i="22"/>
  <c r="B15" i="24"/>
  <c r="G38" i="22" l="1"/>
  <c r="H38" i="22" s="1"/>
  <c r="I38" i="22"/>
  <c r="F38" i="22"/>
  <c r="L38" i="22" s="1"/>
  <c r="F12" i="22"/>
  <c r="P12" i="22" s="1"/>
  <c r="G12" i="22"/>
  <c r="H12" i="22" s="1"/>
  <c r="I12" i="22"/>
  <c r="G33" i="13"/>
  <c r="H33" i="13" s="1"/>
  <c r="F33" i="13"/>
  <c r="Q33" i="13" s="1"/>
  <c r="I33" i="13"/>
  <c r="I46" i="13"/>
  <c r="F46" i="13"/>
  <c r="J46" i="13" s="1"/>
  <c r="G46" i="13"/>
  <c r="H46" i="13" s="1"/>
  <c r="I57" i="13"/>
  <c r="F57" i="13"/>
  <c r="L57" i="13" s="1"/>
  <c r="G57" i="13"/>
  <c r="H57" i="13" s="1"/>
  <c r="G10" i="13"/>
  <c r="H10" i="13" s="1"/>
  <c r="I10" i="13"/>
  <c r="F10" i="13"/>
  <c r="N10" i="13" s="1"/>
  <c r="I39" i="13"/>
  <c r="F39" i="13"/>
  <c r="S39" i="13" s="1"/>
  <c r="G39" i="13"/>
  <c r="H39" i="13" s="1"/>
  <c r="F25" i="22"/>
  <c r="S25" i="22" s="1"/>
  <c r="G25" i="22"/>
  <c r="H25" i="22" s="1"/>
  <c r="I25" i="22"/>
  <c r="F30" i="13"/>
  <c r="R30" i="13" s="1"/>
  <c r="G30" i="13"/>
  <c r="H30" i="13" s="1"/>
  <c r="I30" i="13"/>
  <c r="F9" i="13"/>
  <c r="R9" i="13" s="1"/>
  <c r="G9" i="13"/>
  <c r="H9" i="13" s="1"/>
  <c r="I9" i="13"/>
  <c r="G59" i="13"/>
  <c r="H59" i="13" s="1"/>
  <c r="F59" i="13"/>
  <c r="N59" i="13" s="1"/>
  <c r="I59" i="13"/>
  <c r="I57" i="22"/>
  <c r="F57" i="22"/>
  <c r="P57" i="22" s="1"/>
  <c r="G57" i="22"/>
  <c r="H57" i="22" s="1"/>
  <c r="F29" i="22"/>
  <c r="S29" i="22" s="1"/>
  <c r="G29" i="22"/>
  <c r="H29" i="22" s="1"/>
  <c r="I29" i="22"/>
  <c r="I28" i="13"/>
  <c r="G28" i="13"/>
  <c r="H28" i="13" s="1"/>
  <c r="F28" i="13"/>
  <c r="P28" i="13" s="1"/>
  <c r="F10" i="22"/>
  <c r="T10" i="22" s="1"/>
  <c r="I10" i="22"/>
  <c r="G10" i="22"/>
  <c r="H10" i="22" s="1"/>
  <c r="G59" i="22"/>
  <c r="H59" i="22" s="1"/>
  <c r="I59" i="22"/>
  <c r="F59" i="22"/>
  <c r="O59" i="22" s="1"/>
  <c r="G14" i="22"/>
  <c r="H14" i="22" s="1"/>
  <c r="F14" i="22"/>
  <c r="N14" i="22" s="1"/>
  <c r="I14" i="22"/>
  <c r="I61" i="13"/>
  <c r="F61" i="13"/>
  <c r="L61" i="13" s="1"/>
  <c r="G61" i="13"/>
  <c r="H61" i="13" s="1"/>
  <c r="I44" i="13"/>
  <c r="G44" i="13"/>
  <c r="H44" i="13" s="1"/>
  <c r="F44" i="13"/>
  <c r="K44" i="13" s="1"/>
  <c r="F24" i="22"/>
  <c r="O24" i="22" s="1"/>
  <c r="I24" i="22"/>
  <c r="G24" i="22"/>
  <c r="H24" i="22" s="1"/>
  <c r="I51" i="22"/>
  <c r="G51" i="22"/>
  <c r="H51" i="22" s="1"/>
  <c r="F51" i="22"/>
  <c r="N51" i="22" s="1"/>
  <c r="F16" i="13"/>
  <c r="N16" i="13" s="1"/>
  <c r="I16" i="13"/>
  <c r="G16" i="13"/>
  <c r="H16" i="13" s="1"/>
  <c r="F46" i="22"/>
  <c r="R46" i="22" s="1"/>
  <c r="G46" i="22"/>
  <c r="H46" i="22" s="1"/>
  <c r="I46" i="22"/>
  <c r="G18" i="13"/>
  <c r="H18" i="13" s="1"/>
  <c r="I18" i="13"/>
  <c r="F18" i="13"/>
  <c r="J18" i="13" s="1"/>
  <c r="F39" i="22"/>
  <c r="P39" i="22" s="1"/>
  <c r="I39" i="22"/>
  <c r="G39" i="22"/>
  <c r="H39" i="22" s="1"/>
  <c r="G54" i="13"/>
  <c r="H54" i="13" s="1"/>
  <c r="I54" i="13"/>
  <c r="F54" i="13"/>
  <c r="L54" i="13" s="1"/>
  <c r="G26" i="13"/>
  <c r="H26" i="13" s="1"/>
  <c r="F26" i="13"/>
  <c r="N26" i="13" s="1"/>
  <c r="I26" i="13"/>
  <c r="G15" i="22"/>
  <c r="H15" i="22" s="1"/>
  <c r="I15" i="22"/>
  <c r="F15" i="22"/>
  <c r="Q15" i="22" s="1"/>
  <c r="G32" i="22"/>
  <c r="H32" i="22" s="1"/>
  <c r="I32" i="22"/>
  <c r="F32" i="22"/>
  <c r="Q32" i="22" s="1"/>
  <c r="F42" i="13"/>
  <c r="T42" i="13" s="1"/>
  <c r="G42" i="13"/>
  <c r="H42" i="13" s="1"/>
  <c r="I42" i="13"/>
  <c r="G40" i="13"/>
  <c r="H40" i="13" s="1"/>
  <c r="I40" i="13"/>
  <c r="F40" i="13"/>
  <c r="Q40" i="13" s="1"/>
  <c r="G40" i="22"/>
  <c r="H40" i="22" s="1"/>
  <c r="I40" i="22"/>
  <c r="F40" i="22"/>
  <c r="Q40" i="22" s="1"/>
  <c r="I12" i="13"/>
  <c r="G12" i="13"/>
  <c r="H12" i="13" s="1"/>
  <c r="F12" i="13"/>
  <c r="T12" i="13" s="1"/>
  <c r="G14" i="13"/>
  <c r="H14" i="13" s="1"/>
  <c r="F14" i="13"/>
  <c r="T14" i="13" s="1"/>
  <c r="I14" i="13"/>
  <c r="I53" i="13"/>
  <c r="F53" i="13"/>
  <c r="G53" i="13"/>
  <c r="H53" i="13" s="1"/>
  <c r="G45" i="22"/>
  <c r="H45" i="22" s="1"/>
  <c r="F45" i="22"/>
  <c r="T45" i="22" s="1"/>
  <c r="I45" i="22"/>
  <c r="I29" i="13"/>
  <c r="G29" i="13"/>
  <c r="H29" i="13" s="1"/>
  <c r="F29" i="13"/>
  <c r="F47" i="13"/>
  <c r="L47" i="13" s="1"/>
  <c r="I47" i="13"/>
  <c r="G47" i="13"/>
  <c r="H47" i="13" s="1"/>
  <c r="F19" i="22"/>
  <c r="M19" i="22" s="1"/>
  <c r="G19" i="22"/>
  <c r="H19" i="22" s="1"/>
  <c r="I19" i="22"/>
  <c r="F43" i="22"/>
  <c r="Q43" i="22" s="1"/>
  <c r="I43" i="22"/>
  <c r="G43" i="22"/>
  <c r="H43" i="22" s="1"/>
  <c r="I30" i="22"/>
  <c r="G30" i="22"/>
  <c r="H30" i="22" s="1"/>
  <c r="F30" i="22"/>
  <c r="L30" i="22" s="1"/>
  <c r="G56" i="22"/>
  <c r="H56" i="22" s="1"/>
  <c r="F56" i="22"/>
  <c r="T56" i="22" s="1"/>
  <c r="I56" i="22"/>
  <c r="F23" i="13"/>
  <c r="S23" i="13" s="1"/>
  <c r="G23" i="13"/>
  <c r="H23" i="13" s="1"/>
  <c r="I23" i="13"/>
  <c r="G13" i="13"/>
  <c r="H13" i="13" s="1"/>
  <c r="I13" i="13"/>
  <c r="F13" i="13"/>
  <c r="R13" i="13" s="1"/>
  <c r="G53" i="22"/>
  <c r="H53" i="22" s="1"/>
  <c r="I53" i="22"/>
  <c r="F53" i="22"/>
  <c r="S53" i="22" s="1"/>
  <c r="I60" i="22"/>
  <c r="F60" i="22"/>
  <c r="L60" i="22" s="1"/>
  <c r="G60" i="22"/>
  <c r="H60" i="22" s="1"/>
  <c r="F61" i="22"/>
  <c r="O61" i="22" s="1"/>
  <c r="G61" i="22"/>
  <c r="H61" i="22" s="1"/>
  <c r="I61" i="22"/>
  <c r="G45" i="13"/>
  <c r="H45" i="13" s="1"/>
  <c r="F45" i="13"/>
  <c r="O45" i="13" s="1"/>
  <c r="I45" i="13"/>
  <c r="G9" i="22"/>
  <c r="H9" i="22" s="1"/>
  <c r="I9" i="22"/>
  <c r="F9" i="22"/>
  <c r="R9" i="22" s="1"/>
  <c r="I17" i="22"/>
  <c r="G17" i="22"/>
  <c r="H17" i="22" s="1"/>
  <c r="F17" i="22"/>
  <c r="L17" i="22" s="1"/>
  <c r="F51" i="13"/>
  <c r="P51" i="13" s="1"/>
  <c r="G51" i="13"/>
  <c r="H51" i="13" s="1"/>
  <c r="I51" i="13"/>
  <c r="I56" i="13"/>
  <c r="F56" i="13"/>
  <c r="R56" i="13" s="1"/>
  <c r="G56" i="13"/>
  <c r="H56" i="13" s="1"/>
  <c r="G24" i="13"/>
  <c r="H24" i="13" s="1"/>
  <c r="F24" i="13"/>
  <c r="L24" i="13" s="1"/>
  <c r="I24" i="13"/>
  <c r="F31" i="13"/>
  <c r="S31" i="13" s="1"/>
  <c r="I31" i="13"/>
  <c r="G31" i="13"/>
  <c r="H31" i="13" s="1"/>
  <c r="I16" i="22"/>
  <c r="F16" i="22"/>
  <c r="R16" i="22" s="1"/>
  <c r="G16" i="22"/>
  <c r="H16" i="22" s="1"/>
  <c r="F28" i="22"/>
  <c r="Q28" i="22" s="1"/>
  <c r="I28" i="22"/>
  <c r="G28" i="22"/>
  <c r="H28" i="22" s="1"/>
  <c r="F32" i="13"/>
  <c r="O32" i="13" s="1"/>
  <c r="I32" i="13"/>
  <c r="G32" i="13"/>
  <c r="H32" i="13" s="1"/>
  <c r="G23" i="22"/>
  <c r="H23" i="22" s="1"/>
  <c r="F23" i="22"/>
  <c r="K23" i="22" s="1"/>
  <c r="I23" i="22"/>
  <c r="I17" i="13"/>
  <c r="F17" i="13"/>
  <c r="T17" i="13" s="1"/>
  <c r="G17" i="13"/>
  <c r="H17" i="13" s="1"/>
  <c r="I58" i="22"/>
  <c r="F58" i="22"/>
  <c r="O58" i="22" s="1"/>
  <c r="G58" i="22"/>
  <c r="H58" i="22" s="1"/>
  <c r="I37" i="22"/>
  <c r="F37" i="22"/>
  <c r="J37" i="22" s="1"/>
  <c r="G37" i="22"/>
  <c r="H37" i="22" s="1"/>
  <c r="F38" i="13"/>
  <c r="O38" i="13" s="1"/>
  <c r="I38" i="13"/>
  <c r="G38" i="13"/>
  <c r="H38" i="13" s="1"/>
  <c r="G41" i="13"/>
  <c r="H41" i="13" s="1"/>
  <c r="F41" i="13"/>
  <c r="R41" i="13" s="1"/>
  <c r="I41" i="13"/>
  <c r="G41" i="22"/>
  <c r="H41" i="22" s="1"/>
  <c r="F41" i="22"/>
  <c r="M41" i="22" s="1"/>
  <c r="I41" i="22"/>
  <c r="G25" i="13"/>
  <c r="H25" i="13" s="1"/>
  <c r="I25" i="13"/>
  <c r="F25" i="13"/>
  <c r="T25" i="13" s="1"/>
  <c r="G43" i="13"/>
  <c r="H43" i="13" s="1"/>
  <c r="F43" i="13"/>
  <c r="S43" i="13" s="1"/>
  <c r="I43" i="13"/>
  <c r="F44" i="22"/>
  <c r="N44" i="22" s="1"/>
  <c r="I44" i="22"/>
  <c r="G44" i="22"/>
  <c r="H44" i="22" s="1"/>
  <c r="I27" i="22"/>
  <c r="F27" i="22"/>
  <c r="L27" i="22" s="1"/>
  <c r="G27" i="22"/>
  <c r="H27" i="22" s="1"/>
  <c r="G19" i="13"/>
  <c r="H19" i="13" s="1"/>
  <c r="F19" i="13"/>
  <c r="J19" i="13" s="1"/>
  <c r="I19" i="13"/>
  <c r="I31" i="22"/>
  <c r="F31" i="22"/>
  <c r="J31" i="22" s="1"/>
  <c r="G31" i="22"/>
  <c r="H31" i="22" s="1"/>
  <c r="I15" i="13"/>
  <c r="F15" i="13"/>
  <c r="T15" i="13" s="1"/>
  <c r="G15" i="13"/>
  <c r="H15" i="13" s="1"/>
  <c r="F55" i="13"/>
  <c r="R55" i="13" s="1"/>
  <c r="I55" i="13"/>
  <c r="G55" i="13"/>
  <c r="H55" i="13" s="1"/>
  <c r="F42" i="22"/>
  <c r="Q42" i="22" s="1"/>
  <c r="I42" i="22"/>
  <c r="G42" i="22"/>
  <c r="H42" i="22" s="1"/>
  <c r="G11" i="13"/>
  <c r="H11" i="13" s="1"/>
  <c r="I11" i="13"/>
  <c r="F11" i="13"/>
  <c r="O11" i="13" s="1"/>
  <c r="F60" i="13"/>
  <c r="K60" i="13" s="1"/>
  <c r="G60" i="13"/>
  <c r="H60" i="13" s="1"/>
  <c r="I60" i="13"/>
  <c r="I55" i="22"/>
  <c r="G55" i="22"/>
  <c r="H55" i="22" s="1"/>
  <c r="F55" i="22"/>
  <c r="S55" i="22" s="1"/>
  <c r="F54" i="22"/>
  <c r="Q54" i="22" s="1"/>
  <c r="G54" i="22"/>
  <c r="H54" i="22" s="1"/>
  <c r="I54" i="22"/>
  <c r="F37" i="13"/>
  <c r="R37" i="13" s="1"/>
  <c r="I37" i="13"/>
  <c r="G37" i="13"/>
  <c r="H37" i="13" s="1"/>
  <c r="G33" i="22"/>
  <c r="H33" i="22" s="1"/>
  <c r="I33" i="22"/>
  <c r="F33" i="22"/>
  <c r="R33" i="22" s="1"/>
  <c r="F11" i="22"/>
  <c r="O11" i="22" s="1"/>
  <c r="I11" i="22"/>
  <c r="G11" i="22"/>
  <c r="H11" i="22" s="1"/>
  <c r="I13" i="22"/>
  <c r="G13" i="22"/>
  <c r="H13" i="22" s="1"/>
  <c r="F13" i="22"/>
  <c r="M13" i="22" s="1"/>
  <c r="G52" i="22"/>
  <c r="H52" i="22" s="1"/>
  <c r="F52" i="22"/>
  <c r="R52" i="22" s="1"/>
  <c r="I52" i="22"/>
  <c r="F52" i="13"/>
  <c r="O52" i="13" s="1"/>
  <c r="I52" i="13"/>
  <c r="G52" i="13"/>
  <c r="H52" i="13" s="1"/>
  <c r="G58" i="13"/>
  <c r="H58" i="13" s="1"/>
  <c r="F58" i="13"/>
  <c r="T58" i="13" s="1"/>
  <c r="I58" i="13"/>
  <c r="F27" i="13"/>
  <c r="R27" i="13" s="1"/>
  <c r="I27" i="13"/>
  <c r="G27" i="13"/>
  <c r="H27" i="13" s="1"/>
  <c r="F47" i="22"/>
  <c r="J47" i="22" s="1"/>
  <c r="G47" i="22"/>
  <c r="H47" i="22" s="1"/>
  <c r="I47" i="22"/>
  <c r="F18" i="22"/>
  <c r="T18" i="22" s="1"/>
  <c r="I18" i="22"/>
  <c r="G18" i="22"/>
  <c r="H18" i="22" s="1"/>
  <c r="F26" i="22"/>
  <c r="M26" i="22" s="1"/>
  <c r="G26" i="22"/>
  <c r="H26" i="22" s="1"/>
  <c r="I26" i="22"/>
  <c r="Q28" i="13" l="1"/>
  <c r="O47" i="13"/>
  <c r="K42" i="22"/>
  <c r="N38" i="13"/>
  <c r="P12" i="13"/>
  <c r="R59" i="22"/>
  <c r="M42" i="22"/>
  <c r="O52" i="22"/>
  <c r="T46" i="22"/>
  <c r="S46" i="22"/>
  <c r="P28" i="22"/>
  <c r="N46" i="22"/>
  <c r="K41" i="13"/>
  <c r="N23" i="22"/>
  <c r="M46" i="22"/>
  <c r="T33" i="13"/>
  <c r="P46" i="22"/>
  <c r="L33" i="13"/>
  <c r="O47" i="22"/>
  <c r="M52" i="22"/>
  <c r="O28" i="22"/>
  <c r="P56" i="22"/>
  <c r="R12" i="13"/>
  <c r="N18" i="13"/>
  <c r="Q46" i="22"/>
  <c r="L59" i="22"/>
  <c r="M12" i="22"/>
  <c r="K15" i="13"/>
  <c r="M45" i="13"/>
  <c r="M52" i="13"/>
  <c r="K42" i="13"/>
  <c r="R45" i="13"/>
  <c r="R52" i="13"/>
  <c r="R19" i="13"/>
  <c r="R32" i="13"/>
  <c r="J45" i="13"/>
  <c r="J12" i="13"/>
  <c r="O42" i="13"/>
  <c r="Q25" i="22"/>
  <c r="Q15" i="13"/>
  <c r="Q45" i="13"/>
  <c r="L23" i="13"/>
  <c r="S45" i="22"/>
  <c r="L42" i="13"/>
  <c r="N39" i="22"/>
  <c r="T9" i="13"/>
  <c r="L45" i="22"/>
  <c r="L11" i="13"/>
  <c r="L56" i="13"/>
  <c r="P32" i="22"/>
  <c r="T16" i="22"/>
  <c r="S47" i="22"/>
  <c r="R11" i="13"/>
  <c r="M31" i="22"/>
  <c r="J27" i="22"/>
  <c r="N32" i="13"/>
  <c r="N28" i="22"/>
  <c r="R24" i="13"/>
  <c r="O17" i="22"/>
  <c r="L45" i="13"/>
  <c r="J32" i="22"/>
  <c r="L46" i="22"/>
  <c r="R14" i="22"/>
  <c r="S28" i="13"/>
  <c r="O57" i="22"/>
  <c r="R25" i="22"/>
  <c r="J39" i="13"/>
  <c r="O12" i="22"/>
  <c r="R10" i="22"/>
  <c r="L25" i="22"/>
  <c r="K47" i="22"/>
  <c r="S52" i="22"/>
  <c r="P32" i="13"/>
  <c r="S28" i="22"/>
  <c r="K56" i="13"/>
  <c r="O56" i="22"/>
  <c r="T47" i="13"/>
  <c r="S51" i="22"/>
  <c r="O10" i="22"/>
  <c r="P25" i="22"/>
  <c r="P57" i="13"/>
  <c r="M33" i="13"/>
  <c r="S37" i="13"/>
  <c r="N52" i="22"/>
  <c r="M31" i="13"/>
  <c r="K51" i="13"/>
  <c r="P45" i="13"/>
  <c r="L56" i="22"/>
  <c r="S47" i="13"/>
  <c r="P51" i="22"/>
  <c r="K10" i="22"/>
  <c r="M25" i="22"/>
  <c r="K18" i="22"/>
  <c r="S44" i="22"/>
  <c r="J58" i="22"/>
  <c r="P31" i="13"/>
  <c r="M56" i="13"/>
  <c r="L51" i="13"/>
  <c r="J56" i="22"/>
  <c r="N47" i="13"/>
  <c r="L10" i="22"/>
  <c r="T25" i="22"/>
  <c r="P10" i="13"/>
  <c r="Q56" i="13"/>
  <c r="K25" i="22"/>
  <c r="L10" i="13"/>
  <c r="T58" i="22"/>
  <c r="J11" i="22"/>
  <c r="P16" i="22"/>
  <c r="S56" i="13"/>
  <c r="L53" i="22"/>
  <c r="N25" i="22"/>
  <c r="T10" i="13"/>
  <c r="N58" i="13"/>
  <c r="L58" i="13"/>
  <c r="S23" i="22"/>
  <c r="R53" i="22"/>
  <c r="K19" i="22"/>
  <c r="O16" i="13"/>
  <c r="P61" i="13"/>
  <c r="P11" i="22"/>
  <c r="S54" i="22"/>
  <c r="J15" i="13"/>
  <c r="O54" i="22"/>
  <c r="J43" i="13"/>
  <c r="K38" i="13"/>
  <c r="J58" i="13"/>
  <c r="K11" i="22"/>
  <c r="Q55" i="13"/>
  <c r="T19" i="13"/>
  <c r="O43" i="13"/>
  <c r="L38" i="13"/>
  <c r="M23" i="22"/>
  <c r="Q53" i="22"/>
  <c r="J23" i="13"/>
  <c r="P47" i="13"/>
  <c r="O39" i="22"/>
  <c r="S18" i="13"/>
  <c r="O61" i="13"/>
  <c r="J28" i="13"/>
  <c r="O59" i="13"/>
  <c r="K30" i="13"/>
  <c r="L39" i="13"/>
  <c r="S10" i="13"/>
  <c r="J33" i="13"/>
  <c r="M11" i="22"/>
  <c r="N47" i="22"/>
  <c r="M47" i="22"/>
  <c r="Q27" i="13"/>
  <c r="T52" i="22"/>
  <c r="T11" i="22"/>
  <c r="T55" i="13"/>
  <c r="O19" i="13"/>
  <c r="K43" i="13"/>
  <c r="J41" i="22"/>
  <c r="R38" i="13"/>
  <c r="J28" i="22"/>
  <c r="M53" i="22"/>
  <c r="T23" i="13"/>
  <c r="M47" i="13"/>
  <c r="L15" i="22"/>
  <c r="O54" i="13"/>
  <c r="L39" i="22"/>
  <c r="T61" i="13"/>
  <c r="N30" i="13"/>
  <c r="K39" i="13"/>
  <c r="R10" i="13"/>
  <c r="P33" i="13"/>
  <c r="S54" i="13"/>
  <c r="N61" i="13"/>
  <c r="O39" i="13"/>
  <c r="T47" i="22"/>
  <c r="L52" i="22"/>
  <c r="Q11" i="22"/>
  <c r="R55" i="22"/>
  <c r="M11" i="13"/>
  <c r="T42" i="22"/>
  <c r="O31" i="22"/>
  <c r="J38" i="13"/>
  <c r="N58" i="22"/>
  <c r="K53" i="22"/>
  <c r="M23" i="13"/>
  <c r="R47" i="13"/>
  <c r="Q47" i="13"/>
  <c r="P45" i="22"/>
  <c r="P42" i="13"/>
  <c r="T32" i="22"/>
  <c r="N54" i="13"/>
  <c r="R39" i="22"/>
  <c r="Q44" i="13"/>
  <c r="S59" i="22"/>
  <c r="T28" i="13"/>
  <c r="K10" i="13"/>
  <c r="K33" i="13"/>
  <c r="S38" i="22"/>
  <c r="P58" i="13"/>
  <c r="L11" i="22"/>
  <c r="N11" i="13"/>
  <c r="L58" i="22"/>
  <c r="Q23" i="22"/>
  <c r="N45" i="13"/>
  <c r="Q61" i="22"/>
  <c r="J53" i="22"/>
  <c r="Q30" i="22"/>
  <c r="J47" i="13"/>
  <c r="J42" i="13"/>
  <c r="O32" i="22"/>
  <c r="O26" i="13"/>
  <c r="M59" i="22"/>
  <c r="S10" i="22"/>
  <c r="R28" i="13"/>
  <c r="J10" i="13"/>
  <c r="R33" i="13"/>
  <c r="Q12" i="22"/>
  <c r="N43" i="13"/>
  <c r="L23" i="22"/>
  <c r="T53" i="22"/>
  <c r="J19" i="22"/>
  <c r="L40" i="13"/>
  <c r="T54" i="13"/>
  <c r="Q16" i="13"/>
  <c r="P59" i="22"/>
  <c r="O10" i="13"/>
  <c r="M10" i="13"/>
  <c r="S33" i="13"/>
  <c r="R12" i="22"/>
  <c r="R38" i="22"/>
  <c r="P18" i="22"/>
  <c r="P42" i="22"/>
  <c r="P41" i="22"/>
  <c r="N19" i="22"/>
  <c r="Q19" i="22"/>
  <c r="S16" i="13"/>
  <c r="P14" i="22"/>
  <c r="T29" i="22"/>
  <c r="J59" i="13"/>
  <c r="P38" i="22"/>
  <c r="L15" i="13"/>
  <c r="L43" i="13"/>
  <c r="T32" i="13"/>
  <c r="T40" i="22"/>
  <c r="N40" i="13"/>
  <c r="J15" i="22"/>
  <c r="S26" i="13"/>
  <c r="Q18" i="22"/>
  <c r="L27" i="13"/>
  <c r="R58" i="13"/>
  <c r="K52" i="22"/>
  <c r="R11" i="22"/>
  <c r="O37" i="13"/>
  <c r="T11" i="13"/>
  <c r="L42" i="22"/>
  <c r="M15" i="13"/>
  <c r="P19" i="13"/>
  <c r="M44" i="22"/>
  <c r="R43" i="13"/>
  <c r="R41" i="22"/>
  <c r="P41" i="13"/>
  <c r="T38" i="13"/>
  <c r="O37" i="22"/>
  <c r="R58" i="22"/>
  <c r="J23" i="22"/>
  <c r="Q32" i="13"/>
  <c r="P56" i="13"/>
  <c r="N56" i="13"/>
  <c r="N61" i="22"/>
  <c r="R61" i="22"/>
  <c r="N53" i="22"/>
  <c r="O53" i="22"/>
  <c r="K56" i="22"/>
  <c r="L19" i="22"/>
  <c r="O19" i="22"/>
  <c r="J45" i="22"/>
  <c r="S12" i="13"/>
  <c r="P40" i="22"/>
  <c r="T40" i="13"/>
  <c r="S32" i="22"/>
  <c r="M15" i="22"/>
  <c r="T26" i="13"/>
  <c r="Q54" i="13"/>
  <c r="K39" i="22"/>
  <c r="J39" i="22"/>
  <c r="M18" i="13"/>
  <c r="J16" i="13"/>
  <c r="T51" i="22"/>
  <c r="Q61" i="13"/>
  <c r="J14" i="22"/>
  <c r="N10" i="22"/>
  <c r="K28" i="13"/>
  <c r="N29" i="22"/>
  <c r="Q57" i="22"/>
  <c r="R59" i="13"/>
  <c r="J9" i="13"/>
  <c r="O9" i="13"/>
  <c r="R39" i="13"/>
  <c r="N33" i="13"/>
  <c r="O38" i="22"/>
  <c r="Q44" i="22"/>
  <c r="S41" i="22"/>
  <c r="T37" i="22"/>
  <c r="J27" i="13"/>
  <c r="J37" i="13"/>
  <c r="N19" i="13"/>
  <c r="L44" i="22"/>
  <c r="R37" i="22"/>
  <c r="S61" i="22"/>
  <c r="P61" i="22"/>
  <c r="R18" i="22"/>
  <c r="M58" i="13"/>
  <c r="K52" i="13"/>
  <c r="P37" i="13"/>
  <c r="S15" i="13"/>
  <c r="Q19" i="13"/>
  <c r="P43" i="13"/>
  <c r="Q25" i="13"/>
  <c r="T41" i="22"/>
  <c r="M41" i="13"/>
  <c r="S38" i="13"/>
  <c r="L37" i="22"/>
  <c r="P58" i="22"/>
  <c r="O23" i="22"/>
  <c r="L32" i="13"/>
  <c r="S32" i="13"/>
  <c r="O56" i="13"/>
  <c r="L61" i="22"/>
  <c r="R56" i="22"/>
  <c r="Q56" i="22"/>
  <c r="T19" i="22"/>
  <c r="K45" i="22"/>
  <c r="L14" i="13"/>
  <c r="N12" i="13"/>
  <c r="L40" i="22"/>
  <c r="O40" i="13"/>
  <c r="N42" i="13"/>
  <c r="M32" i="22"/>
  <c r="P15" i="22"/>
  <c r="L26" i="13"/>
  <c r="P54" i="13"/>
  <c r="M39" i="22"/>
  <c r="T39" i="22"/>
  <c r="R16" i="13"/>
  <c r="Q51" i="22"/>
  <c r="K61" i="13"/>
  <c r="T14" i="22"/>
  <c r="Q10" i="22"/>
  <c r="J10" i="22"/>
  <c r="O28" i="13"/>
  <c r="K29" i="22"/>
  <c r="L59" i="13"/>
  <c r="P9" i="13"/>
  <c r="M39" i="13"/>
  <c r="P39" i="13"/>
  <c r="M46" i="13"/>
  <c r="M38" i="22"/>
  <c r="T61" i="22"/>
  <c r="O58" i="13"/>
  <c r="O15" i="13"/>
  <c r="K19" i="13"/>
  <c r="K44" i="22"/>
  <c r="T43" i="13"/>
  <c r="O25" i="13"/>
  <c r="K41" i="22"/>
  <c r="N41" i="13"/>
  <c r="K58" i="22"/>
  <c r="P23" i="22"/>
  <c r="K32" i="13"/>
  <c r="M24" i="13"/>
  <c r="T17" i="22"/>
  <c r="K61" i="22"/>
  <c r="M56" i="22"/>
  <c r="N56" i="22"/>
  <c r="P19" i="22"/>
  <c r="R45" i="22"/>
  <c r="L12" i="13"/>
  <c r="K40" i="22"/>
  <c r="M40" i="13"/>
  <c r="S15" i="22"/>
  <c r="K26" i="13"/>
  <c r="M54" i="13"/>
  <c r="S39" i="22"/>
  <c r="T16" i="13"/>
  <c r="J51" i="22"/>
  <c r="S24" i="22"/>
  <c r="M61" i="13"/>
  <c r="L14" i="22"/>
  <c r="L28" i="13"/>
  <c r="O29" i="22"/>
  <c r="S59" i="13"/>
  <c r="L9" i="13"/>
  <c r="N39" i="13"/>
  <c r="T39" i="13"/>
  <c r="P46" i="13"/>
  <c r="K38" i="22"/>
  <c r="R40" i="13"/>
  <c r="N24" i="22"/>
  <c r="Q14" i="22"/>
  <c r="Q29" i="22"/>
  <c r="M59" i="13"/>
  <c r="P37" i="22"/>
  <c r="J44" i="22"/>
  <c r="J13" i="13"/>
  <c r="P16" i="13"/>
  <c r="O51" i="22"/>
  <c r="M14" i="22"/>
  <c r="P59" i="13"/>
  <c r="K59" i="13"/>
  <c r="R57" i="13"/>
  <c r="J38" i="22"/>
  <c r="K27" i="13"/>
  <c r="Q37" i="22"/>
  <c r="N17" i="22"/>
  <c r="M61" i="22"/>
  <c r="S19" i="22"/>
  <c r="S40" i="13"/>
  <c r="S58" i="13"/>
  <c r="J42" i="22"/>
  <c r="N55" i="13"/>
  <c r="N15" i="13"/>
  <c r="L19" i="13"/>
  <c r="Z17" i="24"/>
  <c r="O44" i="22"/>
  <c r="M43" i="13"/>
  <c r="Q43" i="13"/>
  <c r="Q58" i="22"/>
  <c r="S58" i="22"/>
  <c r="T23" i="22"/>
  <c r="R23" i="22"/>
  <c r="J32" i="13"/>
  <c r="T56" i="13"/>
  <c r="S17" i="22"/>
  <c r="J61" i="22"/>
  <c r="P53" i="22"/>
  <c r="L13" i="13"/>
  <c r="S56" i="22"/>
  <c r="R19" i="22"/>
  <c r="K47" i="13"/>
  <c r="N45" i="22"/>
  <c r="P40" i="13"/>
  <c r="M42" i="13"/>
  <c r="N32" i="22"/>
  <c r="N15" i="22"/>
  <c r="R54" i="13"/>
  <c r="K54" i="13"/>
  <c r="Q39" i="22"/>
  <c r="T18" i="13"/>
  <c r="L51" i="22"/>
  <c r="R61" i="13"/>
  <c r="M10" i="22"/>
  <c r="M28" i="13"/>
  <c r="T59" i="13"/>
  <c r="K9" i="13"/>
  <c r="O25" i="22"/>
  <c r="Q39" i="13"/>
  <c r="Q10" i="13"/>
  <c r="K57" i="13"/>
  <c r="O33" i="13"/>
  <c r="K12" i="22"/>
  <c r="N38" i="22"/>
  <c r="R17" i="13"/>
  <c r="J16" i="22"/>
  <c r="K16" i="22"/>
  <c r="S16" i="22"/>
  <c r="Q16" i="22"/>
  <c r="S51" i="13"/>
  <c r="J51" i="13"/>
  <c r="M51" i="13"/>
  <c r="T51" i="13"/>
  <c r="N51" i="13"/>
  <c r="J9" i="22"/>
  <c r="Q9" i="22"/>
  <c r="S9" i="22"/>
  <c r="T9" i="22"/>
  <c r="K9" i="22"/>
  <c r="P60" i="22"/>
  <c r="M60" i="22"/>
  <c r="J60" i="22"/>
  <c r="S60" i="22"/>
  <c r="O60" i="22"/>
  <c r="R60" i="22"/>
  <c r="N29" i="13"/>
  <c r="S29" i="13"/>
  <c r="O29" i="13"/>
  <c r="M29" i="13"/>
  <c r="P29" i="13"/>
  <c r="J29" i="13"/>
  <c r="L29" i="13"/>
  <c r="T29" i="13"/>
  <c r="Q60" i="13"/>
  <c r="R60" i="13"/>
  <c r="J60" i="13"/>
  <c r="P26" i="22"/>
  <c r="J13" i="22"/>
  <c r="J33" i="22"/>
  <c r="N54" i="22"/>
  <c r="R54" i="22"/>
  <c r="J55" i="22"/>
  <c r="L60" i="13"/>
  <c r="P55" i="13"/>
  <c r="S31" i="22"/>
  <c r="L31" i="22"/>
  <c r="S27" i="22"/>
  <c r="K27" i="22"/>
  <c r="J25" i="13"/>
  <c r="Q17" i="13"/>
  <c r="M16" i="22"/>
  <c r="O51" i="13"/>
  <c r="Q13" i="13"/>
  <c r="M30" i="22"/>
  <c r="P30" i="22"/>
  <c r="T30" i="22"/>
  <c r="K30" i="22"/>
  <c r="J30" i="22"/>
  <c r="O30" i="22"/>
  <c r="O53" i="13"/>
  <c r="P53" i="13"/>
  <c r="Q53" i="13"/>
  <c r="J53" i="13"/>
  <c r="R53" i="13"/>
  <c r="N53" i="13"/>
  <c r="L53" i="13"/>
  <c r="S53" i="13"/>
  <c r="K40" i="13"/>
  <c r="J40" i="13"/>
  <c r="N13" i="22"/>
  <c r="O33" i="22"/>
  <c r="O27" i="13"/>
  <c r="Q52" i="13"/>
  <c r="N52" i="13"/>
  <c r="T52" i="13"/>
  <c r="R13" i="22"/>
  <c r="P33" i="22"/>
  <c r="L54" i="22"/>
  <c r="K55" i="22"/>
  <c r="T60" i="13"/>
  <c r="Q11" i="13"/>
  <c r="P11" i="13"/>
  <c r="R27" i="22"/>
  <c r="L41" i="13"/>
  <c r="J41" i="13"/>
  <c r="Q41" i="13"/>
  <c r="N16" i="22"/>
  <c r="Q31" i="13"/>
  <c r="T31" i="13"/>
  <c r="J31" i="13"/>
  <c r="R31" i="13"/>
  <c r="K31" i="13"/>
  <c r="Q24" i="13"/>
  <c r="S24" i="13"/>
  <c r="J24" i="13"/>
  <c r="N24" i="13"/>
  <c r="O24" i="13"/>
  <c r="R51" i="13"/>
  <c r="L9" i="22"/>
  <c r="N60" i="22"/>
  <c r="P43" i="22"/>
  <c r="T43" i="22"/>
  <c r="M43" i="22"/>
  <c r="N43" i="22"/>
  <c r="J43" i="22"/>
  <c r="L43" i="22"/>
  <c r="K43" i="22"/>
  <c r="T26" i="22"/>
  <c r="Q26" i="22"/>
  <c r="O55" i="22"/>
  <c r="M55" i="22"/>
  <c r="L26" i="22"/>
  <c r="S18" i="22"/>
  <c r="L18" i="22"/>
  <c r="S13" i="22"/>
  <c r="L17" i="13"/>
  <c r="N17" i="13"/>
  <c r="J17" i="13"/>
  <c r="P17" i="13"/>
  <c r="K17" i="13"/>
  <c r="N9" i="22"/>
  <c r="Q60" i="22"/>
  <c r="P13" i="13"/>
  <c r="T13" i="13"/>
  <c r="M13" i="13"/>
  <c r="O13" i="13"/>
  <c r="N13" i="13"/>
  <c r="K26" i="22"/>
  <c r="K33" i="22"/>
  <c r="M33" i="22"/>
  <c r="T55" i="22"/>
  <c r="O60" i="13"/>
  <c r="P31" i="22"/>
  <c r="T31" i="22"/>
  <c r="O27" i="22"/>
  <c r="M27" i="22"/>
  <c r="N33" i="22"/>
  <c r="S55" i="13"/>
  <c r="O55" i="13"/>
  <c r="J55" i="13"/>
  <c r="P25" i="13"/>
  <c r="R25" i="13"/>
  <c r="N25" i="13"/>
  <c r="K25" i="13"/>
  <c r="P52" i="13"/>
  <c r="L37" i="13"/>
  <c r="Q37" i="13"/>
  <c r="M37" i="13"/>
  <c r="P55" i="22"/>
  <c r="L25" i="13"/>
  <c r="O41" i="13"/>
  <c r="S17" i="13"/>
  <c r="O16" i="22"/>
  <c r="O31" i="13"/>
  <c r="T24" i="13"/>
  <c r="Q51" i="13"/>
  <c r="Q17" i="22"/>
  <c r="P9" i="22"/>
  <c r="K60" i="22"/>
  <c r="R30" i="22"/>
  <c r="S43" i="22"/>
  <c r="K29" i="13"/>
  <c r="K53" i="13"/>
  <c r="M27" i="13"/>
  <c r="T27" i="13"/>
  <c r="J26" i="22"/>
  <c r="O18" i="22"/>
  <c r="J52" i="13"/>
  <c r="N26" i="22"/>
  <c r="S26" i="22"/>
  <c r="J18" i="22"/>
  <c r="L47" i="22"/>
  <c r="S27" i="13"/>
  <c r="P52" i="22"/>
  <c r="J52" i="22"/>
  <c r="T13" i="22"/>
  <c r="S33" i="22"/>
  <c r="T37" i="13"/>
  <c r="T54" i="22"/>
  <c r="P60" i="13"/>
  <c r="J11" i="13"/>
  <c r="S42" i="22"/>
  <c r="L55" i="13"/>
  <c r="Q31" i="22"/>
  <c r="T27" i="22"/>
  <c r="R26" i="22"/>
  <c r="M18" i="22"/>
  <c r="N27" i="13"/>
  <c r="Q58" i="13"/>
  <c r="K58" i="13"/>
  <c r="S52" i="13"/>
  <c r="Q52" i="22"/>
  <c r="N11" i="22"/>
  <c r="S11" i="22"/>
  <c r="L33" i="22"/>
  <c r="N37" i="13"/>
  <c r="J54" i="22"/>
  <c r="M54" i="22"/>
  <c r="Q55" i="22"/>
  <c r="N60" i="13"/>
  <c r="S11" i="13"/>
  <c r="N42" i="22"/>
  <c r="M55" i="13"/>
  <c r="Z13" i="24"/>
  <c r="R31" i="22"/>
  <c r="Q27" i="22"/>
  <c r="S25" i="13"/>
  <c r="S41" i="13"/>
  <c r="M38" i="13"/>
  <c r="P38" i="13"/>
  <c r="Q38" i="13"/>
  <c r="O17" i="13"/>
  <c r="L16" i="22"/>
  <c r="L31" i="13"/>
  <c r="K24" i="13"/>
  <c r="O9" i="22"/>
  <c r="T60" i="22"/>
  <c r="S13" i="13"/>
  <c r="P23" i="13"/>
  <c r="O23" i="13"/>
  <c r="N23" i="13"/>
  <c r="Q23" i="13"/>
  <c r="R23" i="13"/>
  <c r="K23" i="13"/>
  <c r="N30" i="22"/>
  <c r="O43" i="22"/>
  <c r="R29" i="13"/>
  <c r="T53" i="13"/>
  <c r="N14" i="13"/>
  <c r="M14" i="13"/>
  <c r="S14" i="13"/>
  <c r="O14" i="13"/>
  <c r="Q14" i="13"/>
  <c r="K14" i="13"/>
  <c r="R14" i="13"/>
  <c r="J14" i="13"/>
  <c r="P14" i="13"/>
  <c r="P13" i="22"/>
  <c r="K13" i="22"/>
  <c r="L13" i="22"/>
  <c r="N27" i="22"/>
  <c r="P54" i="22"/>
  <c r="L55" i="22"/>
  <c r="S60" i="13"/>
  <c r="N31" i="22"/>
  <c r="O26" i="22"/>
  <c r="N18" i="22"/>
  <c r="R47" i="22"/>
  <c r="Q47" i="22"/>
  <c r="P47" i="22"/>
  <c r="P27" i="13"/>
  <c r="L52" i="13"/>
  <c r="Q13" i="22"/>
  <c r="O13" i="22"/>
  <c r="T33" i="22"/>
  <c r="Q33" i="22"/>
  <c r="K37" i="13"/>
  <c r="K54" i="22"/>
  <c r="N55" i="22"/>
  <c r="M60" i="13"/>
  <c r="K11" i="13"/>
  <c r="O42" i="22"/>
  <c r="R42" i="22"/>
  <c r="K55" i="13"/>
  <c r="R15" i="13"/>
  <c r="P15" i="13"/>
  <c r="K31" i="22"/>
  <c r="S19" i="13"/>
  <c r="M19" i="13"/>
  <c r="P27" i="22"/>
  <c r="P44" i="22"/>
  <c r="T44" i="22"/>
  <c r="R44" i="22"/>
  <c r="M25" i="13"/>
  <c r="N41" i="22"/>
  <c r="Q41" i="22"/>
  <c r="L41" i="22"/>
  <c r="O41" i="22"/>
  <c r="T41" i="13"/>
  <c r="M37" i="22"/>
  <c r="K37" i="22"/>
  <c r="N37" i="22"/>
  <c r="S37" i="22"/>
  <c r="M17" i="13"/>
  <c r="T28" i="22"/>
  <c r="L28" i="22"/>
  <c r="R28" i="22"/>
  <c r="K28" i="22"/>
  <c r="M28" i="22"/>
  <c r="N31" i="13"/>
  <c r="P24" i="13"/>
  <c r="K17" i="22"/>
  <c r="P17" i="22"/>
  <c r="J17" i="22"/>
  <c r="M17" i="22"/>
  <c r="R17" i="22"/>
  <c r="M9" i="22"/>
  <c r="K13" i="13"/>
  <c r="S30" i="22"/>
  <c r="R43" i="22"/>
  <c r="Q29" i="13"/>
  <c r="M53" i="13"/>
  <c r="Z15" i="24"/>
  <c r="O45" i="22"/>
  <c r="Z12" i="24"/>
  <c r="M12" i="13"/>
  <c r="O40" i="22"/>
  <c r="S40" i="22"/>
  <c r="Q42" i="13"/>
  <c r="K15" i="22"/>
  <c r="Q26" i="13"/>
  <c r="J26" i="13"/>
  <c r="J54" i="13"/>
  <c r="L18" i="13"/>
  <c r="Q18" i="13"/>
  <c r="L16" i="13"/>
  <c r="K24" i="22"/>
  <c r="N44" i="13"/>
  <c r="J44" i="13"/>
  <c r="O14" i="22"/>
  <c r="T59" i="22"/>
  <c r="Q59" i="22"/>
  <c r="N28" i="13"/>
  <c r="P29" i="22"/>
  <c r="J29" i="22"/>
  <c r="R57" i="22"/>
  <c r="S9" i="13"/>
  <c r="Z7" i="24"/>
  <c r="J30" i="13"/>
  <c r="J25" i="22"/>
  <c r="Q57" i="13"/>
  <c r="J57" i="13"/>
  <c r="Q46" i="13"/>
  <c r="N12" i="22"/>
  <c r="Q24" i="22"/>
  <c r="P44" i="13"/>
  <c r="M44" i="13"/>
  <c r="T57" i="22"/>
  <c r="M30" i="13"/>
  <c r="N57" i="13"/>
  <c r="O46" i="13"/>
  <c r="T12" i="22"/>
  <c r="N40" i="22"/>
  <c r="K18" i="13"/>
  <c r="Z16" i="24"/>
  <c r="Z14" i="24"/>
  <c r="T24" i="22"/>
  <c r="M24" i="22"/>
  <c r="S44" i="13"/>
  <c r="N57" i="22"/>
  <c r="S30" i="13"/>
  <c r="Q30" i="13"/>
  <c r="O57" i="13"/>
  <c r="S46" i="13"/>
  <c r="T45" i="13"/>
  <c r="M45" i="22"/>
  <c r="K12" i="13"/>
  <c r="Z10" i="24"/>
  <c r="J40" i="22"/>
  <c r="R42" i="13"/>
  <c r="K32" i="22"/>
  <c r="O15" i="22"/>
  <c r="T15" i="22"/>
  <c r="M26" i="13"/>
  <c r="R18" i="13"/>
  <c r="K46" i="22"/>
  <c r="J46" i="22"/>
  <c r="K16" i="13"/>
  <c r="K51" i="22"/>
  <c r="P24" i="22"/>
  <c r="J24" i="22"/>
  <c r="O44" i="13"/>
  <c r="S14" i="22"/>
  <c r="K59" i="22"/>
  <c r="R29" i="22"/>
  <c r="L57" i="22"/>
  <c r="J57" i="22"/>
  <c r="N9" i="13"/>
  <c r="P30" i="13"/>
  <c r="T30" i="13"/>
  <c r="S57" i="13"/>
  <c r="K46" i="13"/>
  <c r="L46" i="13"/>
  <c r="J12" i="22"/>
  <c r="Q38" i="22"/>
  <c r="T38" i="22"/>
  <c r="Q12" i="13"/>
  <c r="R40" i="22"/>
  <c r="R26" i="13"/>
  <c r="O18" i="13"/>
  <c r="L24" i="22"/>
  <c r="T44" i="13"/>
  <c r="J59" i="22"/>
  <c r="M29" i="22"/>
  <c r="S57" i="22"/>
  <c r="K57" i="22"/>
  <c r="M9" i="13"/>
  <c r="O30" i="13"/>
  <c r="M57" i="13"/>
  <c r="R46" i="13"/>
  <c r="T46" i="13"/>
  <c r="Z11" i="24"/>
  <c r="Z9" i="24"/>
  <c r="M58" i="22"/>
  <c r="M32" i="13"/>
  <c r="J56" i="13"/>
  <c r="K45" i="13"/>
  <c r="S45" i="13"/>
  <c r="Q45" i="22"/>
  <c r="O12" i="13"/>
  <c r="M40" i="22"/>
  <c r="S42" i="13"/>
  <c r="R32" i="22"/>
  <c r="L32" i="22"/>
  <c r="R15" i="22"/>
  <c r="P26" i="13"/>
  <c r="P18" i="13"/>
  <c r="O46" i="22"/>
  <c r="M16" i="13"/>
  <c r="R51" i="22"/>
  <c r="M51" i="22"/>
  <c r="R24" i="22"/>
  <c r="R44" i="13"/>
  <c r="S61" i="13"/>
  <c r="J61" i="13"/>
  <c r="K14" i="22"/>
  <c r="N59" i="22"/>
  <c r="P10" i="22"/>
  <c r="L29" i="22"/>
  <c r="M57" i="22"/>
  <c r="Q59" i="13"/>
  <c r="Q9" i="13"/>
  <c r="L30" i="13"/>
  <c r="Z8" i="24"/>
  <c r="T57" i="13"/>
  <c r="N46" i="13"/>
  <c r="L12" i="22"/>
  <c r="S12" i="22"/>
  <c r="L44" i="13"/>
  <c r="AD39" i="22" l="1"/>
  <c r="Y39" i="22"/>
  <c r="AB39" i="22"/>
  <c r="AE39" i="22"/>
  <c r="X53" i="22"/>
  <c r="AA10" i="13"/>
  <c r="AA53" i="22"/>
  <c r="AB10" i="13"/>
  <c r="W47" i="13"/>
  <c r="AA39" i="22"/>
  <c r="AB47" i="13"/>
  <c r="AE53" i="22"/>
  <c r="X23" i="22"/>
  <c r="Z33" i="13"/>
  <c r="AB61" i="22"/>
  <c r="AB43" i="13"/>
  <c r="AC58" i="13"/>
  <c r="AA61" i="22"/>
  <c r="Z56" i="22"/>
  <c r="Z38" i="13"/>
  <c r="V19" i="22"/>
  <c r="AE23" i="22"/>
  <c r="V33" i="13"/>
  <c r="Z54" i="13"/>
  <c r="X19" i="22"/>
  <c r="W10" i="13"/>
  <c r="V23" i="22"/>
  <c r="AA33" i="13"/>
  <c r="V47" i="13"/>
  <c r="AA47" i="13"/>
  <c r="AE56" i="22"/>
  <c r="AC28" i="13"/>
  <c r="AC39" i="13"/>
  <c r="AD43" i="13"/>
  <c r="AC10" i="13"/>
  <c r="Y39" i="13"/>
  <c r="Z53" i="22"/>
  <c r="AE39" i="13"/>
  <c r="W61" i="22"/>
  <c r="AC15" i="13"/>
  <c r="AC53" i="22"/>
  <c r="W39" i="13"/>
  <c r="AC33" i="13"/>
  <c r="AA19" i="22"/>
  <c r="Y53" i="22"/>
  <c r="Y23" i="22"/>
  <c r="AB56" i="22"/>
  <c r="W53" i="22"/>
  <c r="V37" i="13"/>
  <c r="V28" i="13"/>
  <c r="Y10" i="13"/>
  <c r="AC10" i="22"/>
  <c r="AE47" i="13"/>
  <c r="W19" i="22"/>
  <c r="X16" i="13"/>
  <c r="X47" i="13"/>
  <c r="AC19" i="22"/>
  <c r="AD23" i="22"/>
  <c r="Z28" i="13"/>
  <c r="V10" i="13"/>
  <c r="AB33" i="13"/>
  <c r="Z24" i="22"/>
  <c r="W59" i="13"/>
  <c r="AC54" i="13"/>
  <c r="AC56" i="22"/>
  <c r="AB28" i="13"/>
  <c r="W56" i="22"/>
  <c r="Y61" i="22"/>
  <c r="AB19" i="22"/>
  <c r="W33" i="13"/>
  <c r="X10" i="13"/>
  <c r="X33" i="13"/>
  <c r="X25" i="22"/>
  <c r="AE56" i="13"/>
  <c r="AE14" i="22"/>
  <c r="Z46" i="22"/>
  <c r="AD42" i="13"/>
  <c r="AA39" i="13"/>
  <c r="AA56" i="22"/>
  <c r="Y33" i="13"/>
  <c r="AD30" i="22"/>
  <c r="AE60" i="22"/>
  <c r="Y38" i="22"/>
  <c r="V61" i="22"/>
  <c r="AB23" i="22"/>
  <c r="AD33" i="13"/>
  <c r="W12" i="22"/>
  <c r="X39" i="13"/>
  <c r="X56" i="22"/>
  <c r="AE10" i="13"/>
  <c r="W38" i="13"/>
  <c r="X17" i="13"/>
  <c r="V57" i="13"/>
  <c r="AE43" i="13"/>
  <c r="AD58" i="13"/>
  <c r="V56" i="22"/>
  <c r="AD19" i="22"/>
  <c r="V43" i="13"/>
  <c r="AC47" i="13"/>
  <c r="AD39" i="13"/>
  <c r="V53" i="22"/>
  <c r="AC61" i="22"/>
  <c r="AA45" i="22"/>
  <c r="AC38" i="22"/>
  <c r="AD10" i="13"/>
  <c r="AB25" i="22"/>
  <c r="Z23" i="22"/>
  <c r="V11" i="22"/>
  <c r="AE54" i="13"/>
  <c r="V52" i="22"/>
  <c r="AA40" i="13"/>
  <c r="AC39" i="22"/>
  <c r="X61" i="22"/>
  <c r="V58" i="13"/>
  <c r="AB9" i="13"/>
  <c r="W39" i="22"/>
  <c r="AB40" i="13"/>
  <c r="AD53" i="22"/>
  <c r="W23" i="22"/>
  <c r="AA25" i="22"/>
  <c r="W25" i="22"/>
  <c r="AE19" i="22"/>
  <c r="AC23" i="22"/>
  <c r="Z39" i="13"/>
  <c r="V13" i="13"/>
  <c r="AA24" i="13"/>
  <c r="AA27" i="22"/>
  <c r="AD61" i="22"/>
  <c r="Z10" i="13"/>
  <c r="Y46" i="13"/>
  <c r="AD25" i="22"/>
  <c r="X57" i="22"/>
  <c r="AD24" i="22"/>
  <c r="W54" i="13"/>
  <c r="Y40" i="13"/>
  <c r="Z61" i="22"/>
  <c r="X58" i="22"/>
  <c r="AD40" i="13"/>
  <c r="Y56" i="22"/>
  <c r="X53" i="13"/>
  <c r="Y31" i="13"/>
  <c r="V11" i="13"/>
  <c r="AC40" i="13"/>
  <c r="X40" i="22"/>
  <c r="W40" i="13"/>
  <c r="AB29" i="13"/>
  <c r="X9" i="22"/>
  <c r="X60" i="13"/>
  <c r="Y18" i="22"/>
  <c r="AD45" i="13"/>
  <c r="W43" i="13"/>
  <c r="Z39" i="22"/>
  <c r="X54" i="13"/>
  <c r="AD56" i="22"/>
  <c r="X39" i="22"/>
  <c r="AB39" i="13"/>
  <c r="Z47" i="13"/>
  <c r="Y47" i="13"/>
  <c r="X25" i="13"/>
  <c r="V31" i="22"/>
  <c r="W52" i="22"/>
  <c r="Z26" i="22"/>
  <c r="W16" i="22"/>
  <c r="AC43" i="13"/>
  <c r="AB51" i="13"/>
  <c r="AA43" i="13"/>
  <c r="AD47" i="13"/>
  <c r="X43" i="13"/>
  <c r="AC59" i="22"/>
  <c r="AC15" i="22"/>
  <c r="Y54" i="13"/>
  <c r="Z57" i="22"/>
  <c r="Z25" i="22"/>
  <c r="X40" i="13"/>
  <c r="Y28" i="13"/>
  <c r="Z40" i="13"/>
  <c r="AC43" i="22"/>
  <c r="Z43" i="13"/>
  <c r="W52" i="13"/>
  <c r="Z19" i="22"/>
  <c r="AE40" i="13"/>
  <c r="W30" i="13"/>
  <c r="AA18" i="13"/>
  <c r="AE41" i="13"/>
  <c r="V55" i="13"/>
  <c r="AA27" i="13"/>
  <c r="X58" i="13"/>
  <c r="AB29" i="22"/>
  <c r="AC16" i="13"/>
  <c r="AE45" i="22"/>
  <c r="AE33" i="13"/>
  <c r="AA44" i="22"/>
  <c r="AB38" i="13"/>
  <c r="V39" i="13"/>
  <c r="AB45" i="13"/>
  <c r="Y43" i="13"/>
  <c r="AC32" i="22"/>
  <c r="AB11" i="22"/>
  <c r="AB53" i="22"/>
  <c r="W51" i="22"/>
  <c r="Y25" i="22"/>
  <c r="AD54" i="13"/>
  <c r="AA28" i="22"/>
  <c r="Y55" i="22"/>
  <c r="AB52" i="22"/>
  <c r="AA57" i="22"/>
  <c r="AE16" i="13"/>
  <c r="AE46" i="22"/>
  <c r="AE57" i="13"/>
  <c r="Y16" i="13"/>
  <c r="AD15" i="22"/>
  <c r="Y45" i="22"/>
  <c r="AB15" i="22"/>
  <c r="AB30" i="22"/>
  <c r="AE25" i="13"/>
  <c r="AD55" i="22"/>
  <c r="AA23" i="22"/>
  <c r="W15" i="22"/>
  <c r="AE25" i="22"/>
  <c r="AE15" i="13"/>
  <c r="V54" i="22"/>
  <c r="W24" i="13"/>
  <c r="V51" i="13"/>
  <c r="Y19" i="22"/>
  <c r="X29" i="22"/>
  <c r="Y24" i="22"/>
  <c r="Z17" i="22"/>
  <c r="AA13" i="22"/>
  <c r="AD23" i="13"/>
  <c r="X52" i="22"/>
  <c r="Z52" i="13"/>
  <c r="AE61" i="22"/>
  <c r="AA24" i="22"/>
  <c r="AB33" i="22"/>
  <c r="AC23" i="13"/>
  <c r="Y55" i="13"/>
  <c r="AA41" i="13"/>
  <c r="AC33" i="22"/>
  <c r="W10" i="22"/>
  <c r="AA14" i="13"/>
  <c r="Z54" i="22"/>
  <c r="X11" i="13"/>
  <c r="X26" i="22"/>
  <c r="W60" i="22"/>
  <c r="V40" i="13"/>
  <c r="X13" i="22"/>
  <c r="V39" i="22"/>
  <c r="AB10" i="22"/>
  <c r="W41" i="22"/>
  <c r="Z42" i="22"/>
  <c r="AB47" i="22"/>
  <c r="W14" i="13"/>
  <c r="X47" i="22"/>
  <c r="X46" i="13"/>
  <c r="Y37" i="22"/>
  <c r="X19" i="13"/>
  <c r="Y38" i="13"/>
  <c r="AC18" i="22"/>
  <c r="AE17" i="13"/>
  <c r="AA16" i="22"/>
  <c r="AC26" i="13"/>
  <c r="V59" i="22"/>
  <c r="AC56" i="13"/>
  <c r="X28" i="22"/>
  <c r="AE37" i="22"/>
  <c r="X31" i="13"/>
  <c r="V38" i="13"/>
  <c r="AD11" i="22"/>
  <c r="Z25" i="13"/>
  <c r="W30" i="22"/>
  <c r="X32" i="13"/>
  <c r="Y32" i="13"/>
  <c r="W32" i="13"/>
  <c r="AA32" i="13"/>
  <c r="AB32" i="13"/>
  <c r="Z32" i="13"/>
  <c r="AD32" i="13"/>
  <c r="V32" i="13"/>
  <c r="AE32" i="13"/>
  <c r="AC32" i="13"/>
  <c r="AA46" i="22"/>
  <c r="W46" i="22"/>
  <c r="Y46" i="22"/>
  <c r="X46" i="22"/>
  <c r="AC46" i="22"/>
  <c r="V32" i="22"/>
  <c r="AE61" i="13"/>
  <c r="AB61" i="13"/>
  <c r="Y61" i="13"/>
  <c r="AC61" i="13"/>
  <c r="W61" i="13"/>
  <c r="V61" i="13"/>
  <c r="X18" i="13"/>
  <c r="V46" i="22"/>
  <c r="AC42" i="13"/>
  <c r="Y30" i="13"/>
  <c r="AA57" i="13"/>
  <c r="AC44" i="13"/>
  <c r="AD14" i="22"/>
  <c r="Z61" i="13"/>
  <c r="AB59" i="13"/>
  <c r="AA59" i="13"/>
  <c r="Z59" i="13"/>
  <c r="AC59" i="13"/>
  <c r="X59" i="13"/>
  <c r="AE59" i="13"/>
  <c r="V59" i="13"/>
  <c r="Y59" i="13"/>
  <c r="AD59" i="13"/>
  <c r="AE29" i="22"/>
  <c r="Z42" i="13"/>
  <c r="V46" i="13"/>
  <c r="AA46" i="13"/>
  <c r="AA30" i="13"/>
  <c r="Z44" i="13"/>
  <c r="AB44" i="13"/>
  <c r="V26" i="13"/>
  <c r="W44" i="13"/>
  <c r="V44" i="13"/>
  <c r="AE18" i="13"/>
  <c r="X51" i="22"/>
  <c r="Z51" i="22"/>
  <c r="AD51" i="22"/>
  <c r="Z30" i="13"/>
  <c r="AD59" i="22"/>
  <c r="Z59" i="22"/>
  <c r="X59" i="22"/>
  <c r="W59" i="22"/>
  <c r="AD46" i="22"/>
  <c r="AD57" i="13"/>
  <c r="Y9" i="13"/>
  <c r="AA40" i="22"/>
  <c r="AB46" i="22"/>
  <c r="AC12" i="22"/>
  <c r="AC30" i="13"/>
  <c r="Z12" i="22"/>
  <c r="V30" i="13"/>
  <c r="AA51" i="22"/>
  <c r="AA10" i="22"/>
  <c r="Y10" i="22"/>
  <c r="Z10" i="22"/>
  <c r="AE10" i="22"/>
  <c r="V10" i="22"/>
  <c r="AD10" i="22"/>
  <c r="X10" i="22"/>
  <c r="AC51" i="22"/>
  <c r="AA26" i="13"/>
  <c r="Z12" i="13"/>
  <c r="AD12" i="13"/>
  <c r="AA12" i="13"/>
  <c r="W12" i="13"/>
  <c r="AE46" i="13"/>
  <c r="X9" i="13"/>
  <c r="AA9" i="13"/>
  <c r="AC9" i="13"/>
  <c r="W9" i="13"/>
  <c r="Z9" i="13"/>
  <c r="X61" i="13"/>
  <c r="Z18" i="13"/>
  <c r="AD18" i="13"/>
  <c r="AB57" i="22"/>
  <c r="X26" i="13"/>
  <c r="AD26" i="13"/>
  <c r="AE26" i="13"/>
  <c r="Y26" i="13"/>
  <c r="W26" i="13"/>
  <c r="AE9" i="13"/>
  <c r="AD61" i="13"/>
  <c r="W29" i="22"/>
  <c r="V29" i="22"/>
  <c r="Z29" i="22"/>
  <c r="Y29" i="22"/>
  <c r="AD29" i="22"/>
  <c r="X12" i="22"/>
  <c r="V9" i="13"/>
  <c r="AA59" i="22"/>
  <c r="AE51" i="22"/>
  <c r="AD12" i="22"/>
  <c r="Y59" i="22"/>
  <c r="AB45" i="22"/>
  <c r="AC45" i="22"/>
  <c r="V45" i="13"/>
  <c r="Y45" i="13"/>
  <c r="AC45" i="13"/>
  <c r="Z45" i="13"/>
  <c r="AA45" i="13"/>
  <c r="X45" i="13"/>
  <c r="W45" i="13"/>
  <c r="V57" i="22"/>
  <c r="AA61" i="13"/>
  <c r="AB12" i="13"/>
  <c r="AB38" i="22"/>
  <c r="X38" i="22"/>
  <c r="AA38" i="22"/>
  <c r="AD38" i="22"/>
  <c r="W38" i="22"/>
  <c r="V38" i="22"/>
  <c r="Z38" i="22"/>
  <c r="W57" i="22"/>
  <c r="AB51" i="22"/>
  <c r="AC12" i="13"/>
  <c r="AD46" i="13"/>
  <c r="Y18" i="13"/>
  <c r="V42" i="13"/>
  <c r="V14" i="22"/>
  <c r="W14" i="22"/>
  <c r="AA14" i="22"/>
  <c r="Y14" i="22"/>
  <c r="AC14" i="22"/>
  <c r="AB14" i="22"/>
  <c r="W32" i="22"/>
  <c r="X57" i="13"/>
  <c r="AC57" i="13"/>
  <c r="W57" i="13"/>
  <c r="AD57" i="22"/>
  <c r="AE44" i="13"/>
  <c r="AA12" i="22"/>
  <c r="V12" i="22"/>
  <c r="AB12" i="22"/>
  <c r="AC29" i="22"/>
  <c r="AB16" i="13"/>
  <c r="X15" i="22"/>
  <c r="V45" i="22"/>
  <c r="X14" i="22"/>
  <c r="AE45" i="13"/>
  <c r="AD44" i="13"/>
  <c r="AA42" i="13"/>
  <c r="X44" i="13"/>
  <c r="AE59" i="22"/>
  <c r="AD40" i="22"/>
  <c r="W28" i="22"/>
  <c r="AA37" i="22"/>
  <c r="AD41" i="22"/>
  <c r="W55" i="22"/>
  <c r="Y14" i="13"/>
  <c r="Y42" i="22"/>
  <c r="Y27" i="13"/>
  <c r="AD42" i="22"/>
  <c r="AA52" i="22"/>
  <c r="AB40" i="22"/>
  <c r="AA9" i="22"/>
  <c r="V44" i="22"/>
  <c r="AA52" i="13"/>
  <c r="Z27" i="22"/>
  <c r="Z47" i="22"/>
  <c r="AC16" i="22"/>
  <c r="Z37" i="22"/>
  <c r="X32" i="22"/>
  <c r="AE16" i="22"/>
  <c r="X55" i="22"/>
  <c r="AE26" i="22"/>
  <c r="AE43" i="22"/>
  <c r="Z24" i="13"/>
  <c r="AE31" i="13"/>
  <c r="W41" i="13"/>
  <c r="AA11" i="13"/>
  <c r="AC13" i="22"/>
  <c r="AE47" i="22"/>
  <c r="AB53" i="13"/>
  <c r="AA30" i="22"/>
  <c r="Y28" i="22"/>
  <c r="AA55" i="13"/>
  <c r="AD54" i="22"/>
  <c r="W29" i="13"/>
  <c r="AA60" i="22"/>
  <c r="AE51" i="13"/>
  <c r="AD16" i="22"/>
  <c r="W58" i="22"/>
  <c r="X31" i="22"/>
  <c r="W17" i="22"/>
  <c r="X24" i="22"/>
  <c r="Y40" i="22"/>
  <c r="AA16" i="13"/>
  <c r="AE12" i="22"/>
  <c r="AA44" i="13"/>
  <c r="AC57" i="22"/>
  <c r="Z14" i="22"/>
  <c r="W16" i="13"/>
  <c r="Z40" i="22"/>
  <c r="AE58" i="22"/>
  <c r="AE28" i="22"/>
  <c r="AD19" i="13"/>
  <c r="Z13" i="22"/>
  <c r="AC47" i="22"/>
  <c r="AA54" i="22"/>
  <c r="AA18" i="22"/>
  <c r="AE53" i="13"/>
  <c r="AB23" i="13"/>
  <c r="AD41" i="13"/>
  <c r="AD11" i="13"/>
  <c r="Y11" i="22"/>
  <c r="X18" i="22"/>
  <c r="Z52" i="22"/>
  <c r="AB55" i="13"/>
  <c r="AE27" i="13"/>
  <c r="V53" i="13"/>
  <c r="AB17" i="22"/>
  <c r="AD17" i="13"/>
  <c r="AE19" i="13"/>
  <c r="AA58" i="13"/>
  <c r="Z55" i="13"/>
  <c r="AE31" i="22"/>
  <c r="AD47" i="22"/>
  <c r="V40" i="22"/>
  <c r="Y13" i="13"/>
  <c r="Y9" i="22"/>
  <c r="AD28" i="22"/>
  <c r="X41" i="22"/>
  <c r="AA42" i="22"/>
  <c r="W40" i="22"/>
  <c r="Z28" i="22"/>
  <c r="Z55" i="22"/>
  <c r="AA43" i="22"/>
  <c r="Y24" i="13"/>
  <c r="AB31" i="13"/>
  <c r="X41" i="13"/>
  <c r="AB11" i="13"/>
  <c r="Y52" i="22"/>
  <c r="Z58" i="13"/>
  <c r="AE40" i="22"/>
  <c r="AA53" i="13"/>
  <c r="X30" i="22"/>
  <c r="Z44" i="22"/>
  <c r="AB42" i="22"/>
  <c r="Z37" i="13"/>
  <c r="AC60" i="13"/>
  <c r="X51" i="13"/>
  <c r="V16" i="22"/>
  <c r="AB37" i="22"/>
  <c r="Y15" i="13"/>
  <c r="AC24" i="22"/>
  <c r="W24" i="22"/>
  <c r="AC40" i="22"/>
  <c r="AE38" i="22"/>
  <c r="AC18" i="13"/>
  <c r="AB56" i="13"/>
  <c r="AC25" i="22"/>
  <c r="X28" i="13"/>
  <c r="AE24" i="22"/>
  <c r="AA54" i="13"/>
  <c r="AE12" i="13"/>
  <c r="AD16" i="13"/>
  <c r="X30" i="13"/>
  <c r="AD28" i="13"/>
  <c r="AB24" i="22"/>
  <c r="Z26" i="13"/>
  <c r="AB26" i="13"/>
  <c r="X12" i="13"/>
  <c r="V54" i="13"/>
  <c r="V17" i="22"/>
  <c r="AB28" i="22"/>
  <c r="Z19" i="13"/>
  <c r="AB13" i="22"/>
  <c r="Y47" i="22"/>
  <c r="AD37" i="13"/>
  <c r="AE18" i="22"/>
  <c r="W45" i="22"/>
  <c r="Y23" i="13"/>
  <c r="AD25" i="13"/>
  <c r="Y60" i="13"/>
  <c r="X11" i="22"/>
  <c r="AC26" i="22"/>
  <c r="AA60" i="13"/>
  <c r="AD27" i="13"/>
  <c r="X27" i="13"/>
  <c r="V29" i="13"/>
  <c r="AA58" i="22"/>
  <c r="V15" i="13"/>
  <c r="AE38" i="13"/>
  <c r="AD55" i="13"/>
  <c r="AA31" i="22"/>
  <c r="V42" i="22"/>
  <c r="AE14" i="13"/>
  <c r="Z13" i="13"/>
  <c r="AD17" i="22"/>
  <c r="AB19" i="13"/>
  <c r="W11" i="22"/>
  <c r="Y12" i="13"/>
  <c r="AC9" i="22"/>
  <c r="AC37" i="13"/>
  <c r="X23" i="13"/>
  <c r="AE41" i="22"/>
  <c r="W11" i="13"/>
  <c r="AE52" i="13"/>
  <c r="X42" i="22"/>
  <c r="Z53" i="13"/>
  <c r="W23" i="13"/>
  <c r="AB17" i="13"/>
  <c r="V27" i="22"/>
  <c r="AE11" i="13"/>
  <c r="AB60" i="13"/>
  <c r="AA29" i="13"/>
  <c r="AE23" i="13"/>
  <c r="V9" i="22"/>
  <c r="AC38" i="13"/>
  <c r="AC55" i="13"/>
  <c r="AB30" i="13"/>
  <c r="Z16" i="13"/>
  <c r="Y12" i="22"/>
  <c r="AA29" i="22"/>
  <c r="V15" i="22"/>
  <c r="X42" i="13"/>
  <c r="AC44" i="22"/>
  <c r="AC11" i="13"/>
  <c r="AC14" i="13"/>
  <c r="V14" i="13"/>
  <c r="AC29" i="13"/>
  <c r="Z23" i="13"/>
  <c r="Z9" i="22"/>
  <c r="Z17" i="13"/>
  <c r="AB55" i="22"/>
  <c r="AE27" i="22"/>
  <c r="AE54" i="22"/>
  <c r="W47" i="22"/>
  <c r="AE58" i="13"/>
  <c r="W27" i="13"/>
  <c r="AD43" i="22"/>
  <c r="Z56" i="13"/>
  <c r="W37" i="22"/>
  <c r="AA55" i="22"/>
  <c r="V25" i="13"/>
  <c r="W42" i="22"/>
  <c r="X15" i="13"/>
  <c r="X33" i="22"/>
  <c r="X13" i="13"/>
  <c r="W51" i="13"/>
  <c r="V17" i="13"/>
  <c r="Y11" i="13"/>
  <c r="W26" i="22"/>
  <c r="Y17" i="22"/>
  <c r="Y58" i="22"/>
  <c r="AC52" i="13"/>
  <c r="V43" i="22"/>
  <c r="Y60" i="22"/>
  <c r="AD24" i="13"/>
  <c r="Y16" i="22"/>
  <c r="AB44" i="22"/>
  <c r="AE60" i="13"/>
  <c r="Y52" i="13"/>
  <c r="Z33" i="22"/>
  <c r="AD53" i="13"/>
  <c r="AB13" i="13"/>
  <c r="AD58" i="22"/>
  <c r="AD27" i="22"/>
  <c r="Z11" i="22"/>
  <c r="AC55" i="22"/>
  <c r="X29" i="13"/>
  <c r="AC60" i="22"/>
  <c r="AE9" i="22"/>
  <c r="AD51" i="13"/>
  <c r="AC41" i="13"/>
  <c r="AD30" i="13"/>
  <c r="Z46" i="13"/>
  <c r="Y32" i="22"/>
  <c r="AB18" i="13"/>
  <c r="AB32" i="22"/>
  <c r="Z45" i="22"/>
  <c r="AD56" i="13"/>
  <c r="AD37" i="22"/>
  <c r="Z41" i="22"/>
  <c r="AE44" i="22"/>
  <c r="AA15" i="13"/>
  <c r="Y27" i="22"/>
  <c r="V13" i="22"/>
  <c r="AB14" i="13"/>
  <c r="Z43" i="22"/>
  <c r="AA23" i="13"/>
  <c r="X56" i="13"/>
  <c r="V58" i="22"/>
  <c r="AB27" i="22"/>
  <c r="X54" i="22"/>
  <c r="AD52" i="13"/>
  <c r="V19" i="13"/>
  <c r="AE37" i="13"/>
  <c r="Z18" i="22"/>
  <c r="AB54" i="22"/>
  <c r="AC30" i="22"/>
  <c r="AE24" i="13"/>
  <c r="AD38" i="13"/>
  <c r="X37" i="13"/>
  <c r="Y25" i="13"/>
  <c r="Y33" i="22"/>
  <c r="Z60" i="13"/>
  <c r="V33" i="22"/>
  <c r="AE13" i="13"/>
  <c r="Y56" i="13"/>
  <c r="AA17" i="13"/>
  <c r="AD13" i="22"/>
  <c r="V18" i="22"/>
  <c r="AD45" i="22"/>
  <c r="AA51" i="13"/>
  <c r="AC37" i="22"/>
  <c r="W43" i="22"/>
  <c r="AB24" i="13"/>
  <c r="AC27" i="22"/>
  <c r="V55" i="22"/>
  <c r="AB52" i="13"/>
  <c r="Y13" i="22"/>
  <c r="W53" i="13"/>
  <c r="Z30" i="22"/>
  <c r="AE17" i="22"/>
  <c r="AB58" i="22"/>
  <c r="AC19" i="13"/>
  <c r="W60" i="13"/>
  <c r="AC27" i="13"/>
  <c r="Z29" i="13"/>
  <c r="Z60" i="22"/>
  <c r="AD9" i="22"/>
  <c r="AA41" i="22"/>
  <c r="W27" i="22"/>
  <c r="Y57" i="13"/>
  <c r="Y42" i="13"/>
  <c r="AB46" i="13"/>
  <c r="Y44" i="13"/>
  <c r="W18" i="13"/>
  <c r="AE32" i="22"/>
  <c r="Y31" i="22"/>
  <c r="AA19" i="13"/>
  <c r="Z14" i="13"/>
  <c r="Y30" i="22"/>
  <c r="AD13" i="13"/>
  <c r="V24" i="13"/>
  <c r="AC31" i="22"/>
  <c r="AB31" i="22"/>
  <c r="AD33" i="22"/>
  <c r="AD26" i="22"/>
  <c r="AB18" i="22"/>
  <c r="V60" i="22"/>
  <c r="Z31" i="13"/>
  <c r="Z41" i="13"/>
  <c r="AB37" i="13"/>
  <c r="AC25" i="13"/>
  <c r="AA11" i="22"/>
  <c r="AE55" i="22"/>
  <c r="V52" i="13"/>
  <c r="AA13" i="13"/>
  <c r="AA56" i="13"/>
  <c r="AE52" i="22"/>
  <c r="V60" i="13"/>
  <c r="W56" i="13"/>
  <c r="Y41" i="13"/>
  <c r="AE55" i="13"/>
  <c r="W9" i="22"/>
  <c r="V31" i="13"/>
  <c r="Y19" i="13"/>
  <c r="W54" i="22"/>
  <c r="X52" i="13"/>
  <c r="AB27" i="13"/>
  <c r="Y53" i="13"/>
  <c r="Z51" i="13"/>
  <c r="W31" i="22"/>
  <c r="AC52" i="22"/>
  <c r="V25" i="22"/>
  <c r="AD29" i="13"/>
  <c r="AD60" i="22"/>
  <c r="AB9" i="22"/>
  <c r="V56" i="13"/>
  <c r="AB25" i="13"/>
  <c r="AC13" i="13"/>
  <c r="AC46" i="13"/>
  <c r="AD32" i="22"/>
  <c r="V51" i="22"/>
  <c r="AE15" i="22"/>
  <c r="V12" i="13"/>
  <c r="Z58" i="22"/>
  <c r="Z57" i="13"/>
  <c r="Y15" i="22"/>
  <c r="W28" i="13"/>
  <c r="AB54" i="13"/>
  <c r="Z22" i="24"/>
  <c r="Z24" i="24" s="1"/>
  <c r="E28" i="25" s="1"/>
  <c r="V24" i="22"/>
  <c r="AB42" i="13"/>
  <c r="AC17" i="22"/>
  <c r="V28" i="22"/>
  <c r="V37" i="22"/>
  <c r="AB41" i="22"/>
  <c r="AD44" i="22"/>
  <c r="AD15" i="13"/>
  <c r="Z11" i="13"/>
  <c r="AD14" i="13"/>
  <c r="W31" i="13"/>
  <c r="AA38" i="13"/>
  <c r="Y37" i="13"/>
  <c r="AB58" i="13"/>
  <c r="Z15" i="13"/>
  <c r="AE13" i="22"/>
  <c r="Y26" i="22"/>
  <c r="V41" i="22"/>
  <c r="AA32" i="22"/>
  <c r="Z16" i="22"/>
  <c r="W25" i="13"/>
  <c r="W37" i="13"/>
  <c r="AA25" i="13"/>
  <c r="V47" i="22"/>
  <c r="V26" i="22"/>
  <c r="AC24" i="13"/>
  <c r="Y17" i="13"/>
  <c r="W18" i="22"/>
  <c r="AD52" i="22"/>
  <c r="X24" i="13"/>
  <c r="W44" i="22"/>
  <c r="AE11" i="22"/>
  <c r="Y43" i="22"/>
  <c r="AC31" i="13"/>
  <c r="AB41" i="13"/>
  <c r="W15" i="13"/>
  <c r="AA37" i="13"/>
  <c r="W58" i="13"/>
  <c r="W42" i="13"/>
  <c r="AC53" i="13"/>
  <c r="V30" i="22"/>
  <c r="AC41" i="22"/>
  <c r="AD31" i="22"/>
  <c r="AC54" i="22"/>
  <c r="Y29" i="13"/>
  <c r="Y44" i="22"/>
  <c r="V27" i="13"/>
  <c r="AE42" i="13"/>
  <c r="W46" i="13"/>
  <c r="AE30" i="13"/>
  <c r="V16" i="13"/>
  <c r="Z15" i="22"/>
  <c r="X45" i="22"/>
  <c r="AC58" i="22"/>
  <c r="Y57" i="22"/>
  <c r="V18" i="13"/>
  <c r="Z32" i="22"/>
  <c r="AE28" i="13"/>
  <c r="AE57" i="22"/>
  <c r="AB57" i="13"/>
  <c r="AD9" i="13"/>
  <c r="AB59" i="22"/>
  <c r="Y51" i="22"/>
  <c r="AA17" i="22"/>
  <c r="X17" i="22"/>
  <c r="AC28" i="22"/>
  <c r="X37" i="22"/>
  <c r="Y41" i="22"/>
  <c r="AC42" i="22"/>
  <c r="AE33" i="22"/>
  <c r="AA47" i="22"/>
  <c r="AD60" i="13"/>
  <c r="W13" i="22"/>
  <c r="AA28" i="13"/>
  <c r="X14" i="13"/>
  <c r="V23" i="13"/>
  <c r="X38" i="13"/>
  <c r="X55" i="13"/>
  <c r="W33" i="22"/>
  <c r="Y58" i="13"/>
  <c r="W55" i="13"/>
  <c r="V41" i="13"/>
  <c r="AC11" i="22"/>
  <c r="X44" i="22"/>
  <c r="X27" i="22"/>
  <c r="AB43" i="22"/>
  <c r="AB60" i="22"/>
  <c r="AA31" i="13"/>
  <c r="W17" i="13"/>
  <c r="AD18" i="22"/>
  <c r="AA15" i="22"/>
  <c r="W13" i="13"/>
  <c r="AD31" i="13"/>
  <c r="Z31" i="22"/>
  <c r="AB26" i="22"/>
  <c r="X43" i="22"/>
  <c r="AC51" i="13"/>
  <c r="AE42" i="22"/>
  <c r="AA33" i="22"/>
  <c r="Z27" i="13"/>
  <c r="AE30" i="22"/>
  <c r="X16" i="22"/>
  <c r="AB15" i="13"/>
  <c r="Y54" i="22"/>
  <c r="AA26" i="22"/>
  <c r="AE29" i="13"/>
  <c r="X60" i="22"/>
  <c r="Y51" i="13"/>
  <c r="AB16" i="22"/>
  <c r="AC17" i="13"/>
  <c r="W19" i="13"/>
  <c r="U47" i="13" l="1"/>
  <c r="U53" i="22"/>
  <c r="U33" i="13"/>
  <c r="U39" i="13"/>
  <c r="U61" i="22"/>
  <c r="U43" i="13"/>
  <c r="U56" i="22"/>
  <c r="U19" i="22"/>
  <c r="U23" i="22"/>
  <c r="F9" i="24"/>
  <c r="K17" i="24"/>
  <c r="U40" i="13"/>
  <c r="U10" i="13"/>
  <c r="U39" i="22"/>
  <c r="K8" i="24"/>
  <c r="E17" i="24"/>
  <c r="F8" i="24"/>
  <c r="J8" i="24"/>
  <c r="U25" i="22"/>
  <c r="M13" i="24"/>
  <c r="K14" i="24"/>
  <c r="F17" i="24"/>
  <c r="U45" i="13"/>
  <c r="E8" i="24"/>
  <c r="E12" i="24"/>
  <c r="J12" i="24"/>
  <c r="I11" i="24"/>
  <c r="U55" i="22"/>
  <c r="G8" i="24"/>
  <c r="U51" i="13"/>
  <c r="U57" i="13"/>
  <c r="U59" i="22"/>
  <c r="K13" i="24"/>
  <c r="G14" i="24"/>
  <c r="K11" i="24"/>
  <c r="I15" i="24"/>
  <c r="M8" i="24"/>
  <c r="U26" i="22"/>
  <c r="J17" i="24"/>
  <c r="U31" i="22"/>
  <c r="U54" i="22"/>
  <c r="U55" i="13"/>
  <c r="U27" i="13"/>
  <c r="U38" i="13"/>
  <c r="L7" i="24"/>
  <c r="U47" i="22"/>
  <c r="H9" i="24"/>
  <c r="U56" i="13"/>
  <c r="H14" i="24"/>
  <c r="F14" i="24"/>
  <c r="U40" i="22"/>
  <c r="J7" i="24"/>
  <c r="U11" i="22"/>
  <c r="I8" i="24"/>
  <c r="K15" i="24"/>
  <c r="L12" i="24"/>
  <c r="M14" i="24"/>
  <c r="E11" i="24"/>
  <c r="F15" i="24"/>
  <c r="U58" i="13"/>
  <c r="F12" i="24"/>
  <c r="U37" i="13"/>
  <c r="U51" i="22"/>
  <c r="U18" i="22"/>
  <c r="U52" i="22"/>
  <c r="U31" i="13"/>
  <c r="U13" i="22"/>
  <c r="I12" i="24"/>
  <c r="E13" i="24"/>
  <c r="D8" i="24"/>
  <c r="L8" i="24"/>
  <c r="M15" i="24"/>
  <c r="U10" i="22"/>
  <c r="I16" i="24"/>
  <c r="K16" i="24"/>
  <c r="U53" i="13"/>
  <c r="U9" i="13"/>
  <c r="D7" i="24"/>
  <c r="M7" i="24"/>
  <c r="H16" i="24"/>
  <c r="E10" i="24"/>
  <c r="G7" i="24"/>
  <c r="U26" i="13"/>
  <c r="F16" i="24"/>
  <c r="M9" i="24"/>
  <c r="L17" i="24"/>
  <c r="U27" i="22"/>
  <c r="U29" i="13"/>
  <c r="L14" i="24"/>
  <c r="U61" i="13"/>
  <c r="H15" i="24"/>
  <c r="U16" i="13"/>
  <c r="D14" i="24"/>
  <c r="F11" i="24"/>
  <c r="I14" i="24"/>
  <c r="U44" i="22"/>
  <c r="G12" i="24"/>
  <c r="G16" i="24"/>
  <c r="H7" i="24"/>
  <c r="L10" i="24"/>
  <c r="I17" i="24"/>
  <c r="U43" i="22"/>
  <c r="H11" i="24"/>
  <c r="U17" i="22"/>
  <c r="U42" i="13"/>
  <c r="U38" i="22"/>
  <c r="U57" i="22"/>
  <c r="I10" i="24"/>
  <c r="E15" i="24"/>
  <c r="G15" i="24"/>
  <c r="U60" i="13"/>
  <c r="J16" i="24"/>
  <c r="D11" i="24"/>
  <c r="J15" i="24"/>
  <c r="M12" i="24"/>
  <c r="U54" i="13"/>
  <c r="M10" i="24"/>
  <c r="U12" i="22"/>
  <c r="U18" i="13"/>
  <c r="D16" i="24"/>
  <c r="U37" i="22"/>
  <c r="M11" i="24"/>
  <c r="U58" i="22"/>
  <c r="I13" i="24"/>
  <c r="F13" i="24"/>
  <c r="U13" i="13"/>
  <c r="U42" i="22"/>
  <c r="F10" i="24"/>
  <c r="J9" i="24"/>
  <c r="I9" i="24"/>
  <c r="E7" i="24"/>
  <c r="H10" i="24"/>
  <c r="U28" i="13"/>
  <c r="U59" i="13"/>
  <c r="U16" i="22"/>
  <c r="U41" i="13"/>
  <c r="J13" i="24"/>
  <c r="U30" i="22"/>
  <c r="U41" i="22"/>
  <c r="U28" i="22"/>
  <c r="G17" i="24"/>
  <c r="U24" i="13"/>
  <c r="U33" i="22"/>
  <c r="U14" i="13"/>
  <c r="D12" i="24"/>
  <c r="U9" i="22"/>
  <c r="E14" i="24"/>
  <c r="K10" i="24"/>
  <c r="K7" i="24"/>
  <c r="M16" i="24"/>
  <c r="L11" i="24"/>
  <c r="E16" i="24"/>
  <c r="U25" i="13"/>
  <c r="K12" i="24"/>
  <c r="U15" i="22"/>
  <c r="G10" i="24"/>
  <c r="M17" i="24"/>
  <c r="U45" i="22"/>
  <c r="U29" i="22"/>
  <c r="I7" i="24"/>
  <c r="U44" i="13"/>
  <c r="U46" i="13"/>
  <c r="U52" i="13"/>
  <c r="G9" i="24"/>
  <c r="K9" i="24"/>
  <c r="G13" i="24"/>
  <c r="L15" i="24"/>
  <c r="L9" i="24"/>
  <c r="D9" i="24"/>
  <c r="H8" i="24"/>
  <c r="F7" i="24"/>
  <c r="U30" i="13"/>
  <c r="U46" i="22"/>
  <c r="U60" i="22"/>
  <c r="U23" i="13"/>
  <c r="H13" i="24"/>
  <c r="L13" i="24"/>
  <c r="U24" i="22"/>
  <c r="U12" i="13"/>
  <c r="D10" i="24"/>
  <c r="H12" i="24"/>
  <c r="U19" i="13"/>
  <c r="D17" i="24"/>
  <c r="J11" i="24"/>
  <c r="U17" i="13"/>
  <c r="D15" i="24"/>
  <c r="E9" i="24"/>
  <c r="U15" i="13"/>
  <c r="D13" i="24"/>
  <c r="H17" i="24"/>
  <c r="G11" i="24"/>
  <c r="U11" i="13"/>
  <c r="J14" i="24"/>
  <c r="U14" i="22"/>
  <c r="J10" i="24"/>
  <c r="L16" i="24"/>
  <c r="U32" i="22"/>
  <c r="U32" i="13"/>
  <c r="C8" i="24" l="1"/>
  <c r="R8" i="24" s="1"/>
  <c r="C13" i="24"/>
  <c r="V13" i="24" s="1"/>
  <c r="C10" i="24"/>
  <c r="S10" i="24" s="1"/>
  <c r="C17" i="24"/>
  <c r="W17" i="24" s="1"/>
  <c r="C9" i="24"/>
  <c r="S9" i="24" s="1"/>
  <c r="C12" i="24"/>
  <c r="P12" i="24" s="1"/>
  <c r="C16" i="24"/>
  <c r="X16" i="24" s="1"/>
  <c r="C14" i="24"/>
  <c r="Q14" i="24" s="1"/>
  <c r="C11" i="24"/>
  <c r="R11" i="24" s="1"/>
  <c r="C7" i="24"/>
  <c r="Q7" i="24" s="1"/>
  <c r="C15" i="24"/>
  <c r="V17" i="24" l="1"/>
  <c r="S8" i="24"/>
  <c r="W8" i="24"/>
  <c r="X13" i="24"/>
  <c r="V8" i="24"/>
  <c r="S13" i="24"/>
  <c r="T10" i="24"/>
  <c r="O10" i="24"/>
  <c r="Y10" i="24"/>
  <c r="X8" i="24"/>
  <c r="P8" i="24"/>
  <c r="V10" i="24"/>
  <c r="Y8" i="24"/>
  <c r="O13" i="24"/>
  <c r="X10" i="24"/>
  <c r="R10" i="24"/>
  <c r="P10" i="24"/>
  <c r="Y13" i="24"/>
  <c r="Q13" i="24"/>
  <c r="U8" i="24"/>
  <c r="U10" i="24"/>
  <c r="W10" i="24"/>
  <c r="P13" i="24"/>
  <c r="Q8" i="24"/>
  <c r="U13" i="24"/>
  <c r="W12" i="24"/>
  <c r="O8" i="24"/>
  <c r="Q10" i="24"/>
  <c r="Y9" i="24"/>
  <c r="Q9" i="24"/>
  <c r="Q17" i="24"/>
  <c r="R17" i="24"/>
  <c r="Y17" i="24"/>
  <c r="P17" i="24"/>
  <c r="O17" i="24"/>
  <c r="T17" i="24"/>
  <c r="T13" i="24"/>
  <c r="W13" i="24"/>
  <c r="R13" i="24"/>
  <c r="T8" i="24"/>
  <c r="T12" i="24"/>
  <c r="X17" i="24"/>
  <c r="V14" i="24"/>
  <c r="P16" i="24"/>
  <c r="R16" i="24"/>
  <c r="Y7" i="24"/>
  <c r="W9" i="24"/>
  <c r="X14" i="24"/>
  <c r="Q16" i="24"/>
  <c r="S16" i="24"/>
  <c r="V9" i="24"/>
  <c r="P7" i="24"/>
  <c r="U9" i="24"/>
  <c r="U7" i="24"/>
  <c r="W7" i="24"/>
  <c r="P9" i="24"/>
  <c r="S7" i="24"/>
  <c r="R7" i="24"/>
  <c r="S17" i="24"/>
  <c r="U17" i="24"/>
  <c r="O15" i="24"/>
  <c r="U15" i="24"/>
  <c r="R15" i="24"/>
  <c r="W15" i="24"/>
  <c r="Y15" i="24"/>
  <c r="S14" i="24"/>
  <c r="O14" i="24"/>
  <c r="R14" i="24"/>
  <c r="T14" i="24"/>
  <c r="Y14" i="24"/>
  <c r="W14" i="24"/>
  <c r="T11" i="24"/>
  <c r="V15" i="24"/>
  <c r="X9" i="24"/>
  <c r="O9" i="24"/>
  <c r="T9" i="24"/>
  <c r="R9" i="24"/>
  <c r="T16" i="24"/>
  <c r="O16" i="24"/>
  <c r="U16" i="24"/>
  <c r="Y11" i="24"/>
  <c r="V7" i="24"/>
  <c r="O7" i="24"/>
  <c r="X7" i="24"/>
  <c r="X15" i="24"/>
  <c r="P14" i="24"/>
  <c r="X11" i="24"/>
  <c r="T7" i="24"/>
  <c r="R12" i="24"/>
  <c r="O12" i="24"/>
  <c r="Q12" i="24"/>
  <c r="V12" i="24"/>
  <c r="U12" i="24"/>
  <c r="X12" i="24"/>
  <c r="W16" i="24"/>
  <c r="U14" i="24"/>
  <c r="S15" i="24"/>
  <c r="P11" i="24"/>
  <c r="V11" i="24"/>
  <c r="O11" i="24"/>
  <c r="U11" i="24"/>
  <c r="Q11" i="24"/>
  <c r="W11" i="24"/>
  <c r="S11" i="24"/>
  <c r="Q15" i="24"/>
  <c r="T15" i="24"/>
  <c r="S12" i="24"/>
  <c r="V16" i="24"/>
  <c r="Y16" i="24"/>
  <c r="Y12" i="24"/>
  <c r="P15" i="24"/>
  <c r="U20" i="24" l="1"/>
  <c r="U22" i="24" s="1"/>
  <c r="U24" i="24" s="1"/>
  <c r="E8" i="25" s="1"/>
  <c r="B8" i="25" s="1"/>
  <c r="T20" i="24"/>
  <c r="T22" i="24" s="1"/>
  <c r="T24" i="24" s="1"/>
  <c r="E7" i="25" s="1"/>
  <c r="B7" i="25" s="1"/>
  <c r="P20" i="24"/>
  <c r="P22" i="24" s="1"/>
  <c r="P24" i="24" s="1"/>
  <c r="E3" i="25" s="1"/>
  <c r="E22" i="25" s="1"/>
  <c r="S20" i="24"/>
  <c r="S22" i="24" s="1"/>
  <c r="S24" i="24" s="1"/>
  <c r="E6" i="25" s="1"/>
  <c r="E25" i="25" s="1"/>
  <c r="Q20" i="24"/>
  <c r="Q22" i="24" s="1"/>
  <c r="Q24" i="24" s="1"/>
  <c r="E4" i="25" s="1"/>
  <c r="E23" i="25" s="1"/>
  <c r="O20" i="24"/>
  <c r="O22" i="24" s="1"/>
  <c r="O24" i="24" s="1"/>
  <c r="E2" i="25" s="1"/>
  <c r="E21" i="25" s="1"/>
  <c r="R20" i="24"/>
  <c r="R22" i="24" s="1"/>
  <c r="R24" i="24" s="1"/>
  <c r="E5" i="25" s="1"/>
  <c r="B5" i="25" s="1"/>
  <c r="E26" i="25" l="1"/>
  <c r="B3" i="25"/>
  <c r="B4" i="25"/>
  <c r="E27" i="25"/>
  <c r="B6" i="25"/>
  <c r="B2" i="25"/>
  <c r="E24" i="25"/>
</calcChain>
</file>

<file path=xl/sharedStrings.xml><?xml version="1.0" encoding="utf-8"?>
<sst xmlns="http://schemas.openxmlformats.org/spreadsheetml/2006/main" count="2306" uniqueCount="680">
  <si>
    <t>Personal Income Tax</t>
  </si>
  <si>
    <t>Corporation</t>
  </si>
  <si>
    <t>Single Filers</t>
  </si>
  <si>
    <t>Total Allowable Credits</t>
  </si>
  <si>
    <t>No. Returns</t>
  </si>
  <si>
    <t xml:space="preserve">Fed Agi </t>
  </si>
  <si>
    <t xml:space="preserve">Additions To Fed Agi </t>
  </si>
  <si>
    <t xml:space="preserve">Subtracts From Fed Agi </t>
  </si>
  <si>
    <t xml:space="preserve"> Ct Agi </t>
  </si>
  <si>
    <t xml:space="preserve"> Income Tax</t>
  </si>
  <si>
    <t>Credit For Tax Pd To Jur</t>
  </si>
  <si>
    <t xml:space="preserve">Ct Alt Min Tax Due </t>
  </si>
  <si>
    <t xml:space="preserve">Property Tax </t>
  </si>
  <si>
    <t xml:space="preserve">Credit For Property Tax </t>
  </si>
  <si>
    <t>CT-1040 Line 13</t>
  </si>
  <si>
    <t xml:space="preserve">Ct Income Tax </t>
  </si>
  <si>
    <t xml:space="preserve">Use Tax Amt </t>
  </si>
  <si>
    <t xml:space="preserve">Total Tax </t>
  </si>
  <si>
    <t>CT-1040</t>
  </si>
  <si>
    <t>Line 1</t>
  </si>
  <si>
    <t>Line 2</t>
  </si>
  <si>
    <t>Line 4</t>
  </si>
  <si>
    <t>Line 5</t>
  </si>
  <si>
    <t>Line 6</t>
  </si>
  <si>
    <t>Line 7</t>
  </si>
  <si>
    <t>Line 9</t>
  </si>
  <si>
    <t>Credit - Count</t>
  </si>
  <si>
    <t xml:space="preserve">Line 11 </t>
  </si>
  <si>
    <t xml:space="preserve">From CT-IT </t>
  </si>
  <si>
    <t>Line 14</t>
  </si>
  <si>
    <t>Line 15</t>
  </si>
  <si>
    <t>Line 16</t>
  </si>
  <si>
    <t>01) Less than $5000</t>
  </si>
  <si>
    <t>02) $5,000 to $10,000</t>
  </si>
  <si>
    <t>03) $10,000 to $12,000</t>
  </si>
  <si>
    <t>04) $12,000 to $15,000</t>
  </si>
  <si>
    <t>05) $15,000 to $19,000</t>
  </si>
  <si>
    <t>06) $19,000 to $20,000</t>
  </si>
  <si>
    <t>07) $20,000 to $24,000</t>
  </si>
  <si>
    <t>08) $24,000 to $25,000</t>
  </si>
  <si>
    <t>09) $25,000 to $30,000</t>
  </si>
  <si>
    <t>10) $30,000 to $34,000</t>
  </si>
  <si>
    <t>11) $34,000 to $35,000</t>
  </si>
  <si>
    <t>12) $35,000 to $40,000</t>
  </si>
  <si>
    <t>13) $40,000 to $44,000</t>
  </si>
  <si>
    <t>14) $44,001 to $45,000</t>
  </si>
  <si>
    <t>15) $45,001 to $48,000</t>
  </si>
  <si>
    <t>16) $48,001 to $50,000</t>
  </si>
  <si>
    <t>17) $50,000 to $60,000</t>
  </si>
  <si>
    <t>18) $60,000 to $74,000</t>
  </si>
  <si>
    <t>19) $74,000 to $75,000</t>
  </si>
  <si>
    <t>20) $75,000 to $96,000</t>
  </si>
  <si>
    <t>21) $96,000 to $100,000</t>
  </si>
  <si>
    <t>22) $100,001 to $150,000</t>
  </si>
  <si>
    <t>23) $150,001 to $200,000</t>
  </si>
  <si>
    <t>24) $200,001 to $250,000</t>
  </si>
  <si>
    <t>25) $250,001 to $350,000</t>
  </si>
  <si>
    <t>26) $350,001 to $500,000</t>
  </si>
  <si>
    <t>27) $500,000 to $1,000,000</t>
  </si>
  <si>
    <t>28) $1,000,001 to $2,000,000</t>
  </si>
  <si>
    <t>29) $2,000,001 and over</t>
  </si>
  <si>
    <t>Total</t>
  </si>
  <si>
    <t>Joint Filers</t>
  </si>
  <si>
    <t>Married Filing Separately</t>
  </si>
  <si>
    <t>Head of Household</t>
  </si>
  <si>
    <t>Income Tax</t>
  </si>
  <si>
    <t>Single</t>
  </si>
  <si>
    <t>Joint</t>
  </si>
  <si>
    <t>Married Sep.</t>
  </si>
  <si>
    <t>Rate</t>
  </si>
  <si>
    <t>Head of House</t>
  </si>
  <si>
    <t>Loss carryforwards smooth out fluctuations in corporate profits, which may change dramatically with economic conditions. Like federal law, prior year losses must be applied against income to the maximum extent possible and in a consecutive fashion during the carryover period, so that losses from the earliest years are used first. Federal law allows losses to be carried forward 20 years or carried back two years; the state deduction can be carried forward for 20 years.</t>
  </si>
  <si>
    <t>Sales Tax</t>
  </si>
  <si>
    <t>Current Rate</t>
  </si>
  <si>
    <t>CTAGI</t>
  </si>
  <si>
    <t>Filers</t>
  </si>
  <si>
    <t>Average Income</t>
  </si>
  <si>
    <t>Personal Exemption</t>
  </si>
  <si>
    <t>Lower Limit</t>
  </si>
  <si>
    <t>Upper Limit</t>
  </si>
  <si>
    <t>Phase-out per $1000</t>
  </si>
  <si>
    <t>Added tax per $1000</t>
  </si>
  <si>
    <t>Amount</t>
  </si>
  <si>
    <t>2018 Estimated Income Tax</t>
  </si>
  <si>
    <t>Max Recapture</t>
  </si>
  <si>
    <t>Brackets</t>
  </si>
  <si>
    <t>CTAGI Taxed in each bracket</t>
  </si>
  <si>
    <t>3% Phase-out Amount</t>
  </si>
  <si>
    <t>Percent of CTAGI Taxed in each bracket</t>
  </si>
  <si>
    <t>Ct Income Tax</t>
  </si>
  <si>
    <t>Alt Min</t>
  </si>
  <si>
    <t>Credit Oth Jurisd</t>
  </si>
  <si>
    <t xml:space="preserve">L9 X L8 </t>
  </si>
  <si>
    <t>L5 Or L6</t>
  </si>
  <si>
    <t>Income Ct Sources</t>
  </si>
  <si>
    <t>Connecticut Agi</t>
  </si>
  <si>
    <t>Subtrctns Sch1</t>
  </si>
  <si>
    <t>Additions Sch1</t>
  </si>
  <si>
    <t>Federal Agi</t>
  </si>
  <si>
    <t>Taxpayer COUNT</t>
  </si>
  <si>
    <t>CT-1040NR/PY</t>
  </si>
  <si>
    <t>CT-1040 Line 15</t>
  </si>
  <si>
    <t>Line 13</t>
  </si>
  <si>
    <t>Line 11</t>
  </si>
  <si>
    <t>Line 10</t>
  </si>
  <si>
    <t>Line 8</t>
  </si>
  <si>
    <t>2016 Actual Income Tax</t>
  </si>
  <si>
    <t>Total Revenue per bracket</t>
  </si>
  <si>
    <t>Projected Revenue</t>
  </si>
  <si>
    <t>Name</t>
  </si>
  <si>
    <t>PIT - 3%</t>
  </si>
  <si>
    <t>PIT - 5%</t>
  </si>
  <si>
    <t>PIT - 6%</t>
  </si>
  <si>
    <t>PIT - 5.5%</t>
  </si>
  <si>
    <t>PIT - 6.5%</t>
  </si>
  <si>
    <t>PIT - 6.9%</t>
  </si>
  <si>
    <t>PIT - 6.99%</t>
  </si>
  <si>
    <t>Corporate</t>
  </si>
  <si>
    <t>Sales Tax - STF</t>
  </si>
  <si>
    <t>Petroleum Gross Earnings Tax</t>
  </si>
  <si>
    <t>Gas Tax - per gallon tax</t>
  </si>
  <si>
    <t>Special Fuels Tax - per gallon tax</t>
  </si>
  <si>
    <t>Page</t>
  </si>
  <si>
    <t>Cover Sheet</t>
  </si>
  <si>
    <t>Existing Revenue</t>
  </si>
  <si>
    <t>Tax Expenditures</t>
  </si>
  <si>
    <t>New Tax Revenues</t>
  </si>
  <si>
    <t>Outputs</t>
  </si>
  <si>
    <t>Value</t>
  </si>
  <si>
    <t>Type</t>
  </si>
  <si>
    <t>Change in Revenue</t>
  </si>
  <si>
    <t>Estimated Recapture per filer</t>
  </si>
  <si>
    <t>Estimated Recapture Total</t>
  </si>
  <si>
    <t>Description</t>
  </si>
  <si>
    <t>Exemption</t>
  </si>
  <si>
    <t>Z-Data</t>
  </si>
  <si>
    <t>primary</t>
  </si>
  <si>
    <t>duplicate</t>
  </si>
  <si>
    <t xml:space="preserve">Motor Vehicle Receipts </t>
  </si>
  <si>
    <t>Motor Vehicle Licenses, Permits and Fees</t>
  </si>
  <si>
    <t>Bottle Deposit</t>
  </si>
  <si>
    <t>Estimated Revenue</t>
  </si>
  <si>
    <t>Fund</t>
  </si>
  <si>
    <t>GF</t>
  </si>
  <si>
    <t>STF</t>
  </si>
  <si>
    <t>Implement</t>
  </si>
  <si>
    <t>Perceived Equity</t>
  </si>
  <si>
    <t>Incentive</t>
  </si>
  <si>
    <t>Redundancy</t>
  </si>
  <si>
    <t>Cascading</t>
  </si>
  <si>
    <t>Conformity</t>
  </si>
  <si>
    <t>Expediency</t>
  </si>
  <si>
    <t>Rationale</t>
  </si>
  <si>
    <t>Perceived Equity/Incentive</t>
  </si>
  <si>
    <t>Perceived Equity/Redundancy/Incentive</t>
  </si>
  <si>
    <t>Equity</t>
  </si>
  <si>
    <t>Incentive/Redundancy</t>
  </si>
  <si>
    <t>Incentive/Cascading</t>
  </si>
  <si>
    <t>Expediency/Incentive</t>
  </si>
  <si>
    <t>Conformity/Clarification/Incentive</t>
  </si>
  <si>
    <t>Incentive/Expediency</t>
  </si>
  <si>
    <t>Clarification/Expediency</t>
  </si>
  <si>
    <t>Incentive/Perceived Equity</t>
  </si>
  <si>
    <t>N/A</t>
  </si>
  <si>
    <t>Grand Total</t>
  </si>
  <si>
    <t>PIT</t>
  </si>
  <si>
    <t>Sales Tax - Luxury</t>
  </si>
  <si>
    <t>Sales Tax Calculation</t>
  </si>
  <si>
    <t>Sales Tax - DMV</t>
  </si>
  <si>
    <t>Credit for Property Taxes Paid - Income Tax</t>
  </si>
  <si>
    <t>Earned Income Tax Credit  - Income Tax</t>
  </si>
  <si>
    <t>Angel Investor Tax Credit - Income Tax</t>
  </si>
  <si>
    <t>Sales of Food Products for Human Consumption - Sales and Use Tax</t>
  </si>
  <si>
    <t>Items Purchased with Food Stamps - Sales and Use Tax</t>
  </si>
  <si>
    <t>Oxygen, Blood Plasma, Prostheses, Wigs, Hearing Aids, Crutches, Walkers, Wheel Chairs, etc - Sales and Use Tax</t>
  </si>
  <si>
    <t>Prescription Medicines, Syringes, and Needles - Sales and Use Tax</t>
  </si>
  <si>
    <t>Non-prescription drugs and medicines - Sales and Use Tax</t>
  </si>
  <si>
    <t>Certain Utilities Sales - Sales and Use Tax</t>
  </si>
  <si>
    <t>Utilities for Agriculture/Manufacturing - Sales and Use Tax</t>
  </si>
  <si>
    <t>Motor Vehicle Fuel - Sales and Use Tax</t>
  </si>
  <si>
    <t>Solar Energy, Geothermal, and Ice Storage Systems - Sales and Use Tax</t>
  </si>
  <si>
    <t>Machinery used in Manufacturing and Component Parts for Assembly of Manufacturing Machinery and Production Materials - Sales and Use Tax</t>
  </si>
  <si>
    <t>Aircraft Repair, Replacement Parts; Aircraft Repair Services; etc - Sales and Use Tax</t>
  </si>
  <si>
    <t>Marine Fuel - Sales and Use Tax</t>
  </si>
  <si>
    <t>Machinery, Equipment, Tools, Materials, Supplies, Fuel Used in Biotechnology Industry - Sales and Use Tax</t>
  </si>
  <si>
    <t>Computer and Data Processing - Sales and Use Tax</t>
  </si>
  <si>
    <t>Calibration Services and ISO Services - Sales and Use Tax</t>
  </si>
  <si>
    <t>Renovation &amp; Repair for Residential Property - Sales and Use Tax</t>
  </si>
  <si>
    <t>Patient Care Services - Sales and Use Tax</t>
  </si>
  <si>
    <t>Amusement and Recreation Services - Sales and Use Tax</t>
  </si>
  <si>
    <t>Advertising - Sales and Use Tax</t>
  </si>
  <si>
    <t>Sales to Government organizations - Sales and Use Tax</t>
  </si>
  <si>
    <t>Sales to Nonprofit organizations - Sales and Use Tax</t>
  </si>
  <si>
    <t>Motor Vehicles &amp; Vessels Purchased by Non-Residents to use Out of State - Sales and Use Tax</t>
  </si>
  <si>
    <t>Trade-In of Motor Vehicles, Snowmobiles, Vessels or Farm Tractors, Certain Construction Equipment - Sales and Use Tax</t>
  </si>
  <si>
    <t>Net Operating loss Carry-Forward - Corporation Tax</t>
  </si>
  <si>
    <t>Net Capital Loss Carry-Forward - Corporation Tax</t>
  </si>
  <si>
    <t>$2.5 Million Cap on Unitary Liability - Corporation Tax</t>
  </si>
  <si>
    <t>Apprenticeship - Corporation Tax</t>
  </si>
  <si>
    <t>Electronic Data Processing - Corporation Tax</t>
  </si>
  <si>
    <t>Film Production - Corporation Tax</t>
  </si>
  <si>
    <t>Film Production Infrastructure - Corporation Tax</t>
  </si>
  <si>
    <t>Fixed Capital - Corporation Tax</t>
  </si>
  <si>
    <t>Historic Home Rehabilitation, Historic Structure, Historic Preservation, and Historic Rehabilitation - Corporation Tax</t>
  </si>
  <si>
    <t>Human Capital - Corporation Tax</t>
  </si>
  <si>
    <t>Machinery and Equipment - Corporation Tax</t>
  </si>
  <si>
    <t>Neighborhood Assistance - Corporation Tax</t>
  </si>
  <si>
    <t>Research &amp; Development - Corporation Tax</t>
  </si>
  <si>
    <t>Research &amp; Experimentation - Corporation Tax</t>
  </si>
  <si>
    <t>Sale of Certain Credits - Corporation Tax</t>
  </si>
  <si>
    <t>Urban and Industrial Reinvestment Credit - Corporation Tax</t>
  </si>
  <si>
    <t>Ocean Marine Insurance - Insurance Premiums Tax</t>
  </si>
  <si>
    <t>State Employee Health Plans - Insurance Premiums Tax</t>
  </si>
  <si>
    <t>Insurance Department Assessment Credit - Insurance Premiums Tax</t>
  </si>
  <si>
    <t>Neighborhood Assistance - Insurance Premiums Tax</t>
  </si>
  <si>
    <t>Insurance Reinvestment - Insurance Premiums Tax</t>
  </si>
  <si>
    <t>Electronic Data Processing - Insurance Premiums Tax</t>
  </si>
  <si>
    <t>Film Production - Insurance Premiums Tax</t>
  </si>
  <si>
    <t>Film Production Infrastructure - Insurance Premiums Tax</t>
  </si>
  <si>
    <t>Urban and Industrial Reinvestment Credit - Insurance Premiums Tax</t>
  </si>
  <si>
    <t>Credit for Property Taxes Paid - Income Taxq</t>
  </si>
  <si>
    <t>Earned Income Tax Credit  - Income Taxq</t>
  </si>
  <si>
    <t>Angel Investor Tax Credit - Income Taxq</t>
  </si>
  <si>
    <t>Sales of Food Products for Human Consumption - Sales and Use Taxq</t>
  </si>
  <si>
    <t>Items Purchased with Food Stamps - Sales and Use Taxq</t>
  </si>
  <si>
    <t>Oxygen, Blood Plasma, Prostheses, Wigs, Hearing Aids, Crutches, Walkers, Wheel Chairs, etc - Sales and Use Taxq</t>
  </si>
  <si>
    <t>Prescription Medicines, Syringes, and Needles - Sales and Use Taxq</t>
  </si>
  <si>
    <t>Non-prescription drugs and medicines - Sales and Use Taxq</t>
  </si>
  <si>
    <t>Certain Utilities Sales - Sales and Use Taxq</t>
  </si>
  <si>
    <t>Utilities for Agriculture/Manufacturing - Sales and Use Taxq</t>
  </si>
  <si>
    <t>Motor Vehicle Fuel - Sales and Use Taxq</t>
  </si>
  <si>
    <t>Solar Energy, Geothermal, and Ice Storage Systems - Sales and Use Taxq</t>
  </si>
  <si>
    <t>Machinery used in Manufacturing and Component Parts for Assembly of Manufacturing Machinery and Production Materials - Sales and Use Taxq</t>
  </si>
  <si>
    <t>Aircraft Repair, Replacement Parts; Aircraft Repair Services; etc - Sales and Use Taxq</t>
  </si>
  <si>
    <t>Marine Fuel - Sales and Use Taxq</t>
  </si>
  <si>
    <t>Computer and Data Processing - Sales and Use Taxq</t>
  </si>
  <si>
    <t>Calibration Services and ISO Services - Sales and Use Taxq</t>
  </si>
  <si>
    <t>Renovation &amp; Repair for Residential Property - Sales and Use Taxq</t>
  </si>
  <si>
    <t>Patient Care Services - Sales and Use Taxq</t>
  </si>
  <si>
    <t>Amusement and Recreation Services - Sales and Use Taxq</t>
  </si>
  <si>
    <t>Advertising - Sales and Use Taxq</t>
  </si>
  <si>
    <t>Sales to Government organizations - Sales and Use Taxq</t>
  </si>
  <si>
    <t>Sales to Nonprofit organizations - Sales and Use Taxq</t>
  </si>
  <si>
    <t>Motor Vehicles &amp; Vessels Purchased by Non-Residents to use Out of State - Sales and Use Taxq</t>
  </si>
  <si>
    <t>Trade-In of Motor Vehicles, Snowmobiles, Vessels or Farm Tractors, Certain Construction Equipment - Sales and Use Taxq</t>
  </si>
  <si>
    <t>Net Operating loss Carry-Forward - Corporation Taxq</t>
  </si>
  <si>
    <t>Net Capital Loss Carry-Forward - Corporation Taxq</t>
  </si>
  <si>
    <t>$2.5 Million Cap on Unitary Liability - Corporation Taxq</t>
  </si>
  <si>
    <t>Apprenticeship - Corporation Taxq</t>
  </si>
  <si>
    <t>Electronic Data Processing - Corporation Taxq</t>
  </si>
  <si>
    <t>Film Production - Corporation Taxq</t>
  </si>
  <si>
    <t>Film Production Infrastructure - Corporation Taxq</t>
  </si>
  <si>
    <t>Fixed Capital - Corporation Taxq</t>
  </si>
  <si>
    <t>Historic Home Rehabilitation, Historic Structure, Historic Preservation, and Historic Rehabilitation - Corporation Taxq</t>
  </si>
  <si>
    <t>Human Capital - Corporation Taxq</t>
  </si>
  <si>
    <t>Machinery and Equipment - Corporation Taxq</t>
  </si>
  <si>
    <t>Neighborhood Assistance - Corporation Taxq</t>
  </si>
  <si>
    <t>Research &amp; Development - Corporation Taxq</t>
  </si>
  <si>
    <t>Research &amp; Experimentation - Corporation Taxq</t>
  </si>
  <si>
    <t>Sale of Certain Credits - Corporation Taxq</t>
  </si>
  <si>
    <t>Urban and Industrial Reinvestment Credit - Corporation Taxq</t>
  </si>
  <si>
    <t>Ocean Marine Insurance - Insurance Premiums Taxq</t>
  </si>
  <si>
    <t>State Employee Health Plans - Insurance Premiums Taxq</t>
  </si>
  <si>
    <t>Insurance Department Assessment Credit - Insurance Premiums Taxq</t>
  </si>
  <si>
    <t>Neighborhood Assistance - Insurance Premiums Taxq</t>
  </si>
  <si>
    <t>Insurance Reinvestment - Insurance Premiums Taxq</t>
  </si>
  <si>
    <t>Electronic Data Processing - Insurance Premiums Taxq</t>
  </si>
  <si>
    <t>Film Production - Insurance Premiums Taxq</t>
  </si>
  <si>
    <t>Film Production Infrastructure - Insurance Premiums Taxq</t>
  </si>
  <si>
    <t>Urban and Industrial Reinvestment Credit - Insurance Premiums Taxq</t>
  </si>
  <si>
    <t>Recapture Total</t>
  </si>
  <si>
    <t>Cigarette Tax</t>
  </si>
  <si>
    <t>Estate Tax</t>
  </si>
  <si>
    <t>Resident and nonresident estates of decedents are liable for the Connecticut Estate Tax on the amount of the Connecticut taxable estate that exceeds $2 million.</t>
  </si>
  <si>
    <t>Insurance Companies Tax</t>
  </si>
  <si>
    <t>Real Estate Conveyance Tax</t>
  </si>
  <si>
    <t>Public Service Companies Tax</t>
  </si>
  <si>
    <t>Tax</t>
  </si>
  <si>
    <t>Estimate</t>
  </si>
  <si>
    <t>Public Service</t>
  </si>
  <si>
    <t>Inheritance &amp; Estate</t>
  </si>
  <si>
    <t>Insurance Companies</t>
  </si>
  <si>
    <t>Real Estate Conveyance</t>
  </si>
  <si>
    <t>Other</t>
  </si>
  <si>
    <t>Tax Category</t>
  </si>
  <si>
    <t>PIT - Recapture</t>
  </si>
  <si>
    <t>Tobacco Products Tax</t>
  </si>
  <si>
    <t>Connecticut imposes a tax on the conveyance of real property. The tax is assessed on the full purchase price of the property and is determined by the classification of the property being conveyed. Payment of the tax is the responsibility of the seller of the property and must be paid before the deed can be recorded.</t>
  </si>
  <si>
    <t>Sales &amp; Use Tax</t>
  </si>
  <si>
    <t>Oil Companies Tax</t>
  </si>
  <si>
    <t>Motor Fuels Tax</t>
  </si>
  <si>
    <t>Comparison</t>
  </si>
  <si>
    <t>Sales &amp; Use*</t>
  </si>
  <si>
    <t>Cigarettes and Tobacco</t>
  </si>
  <si>
    <t>A corporation carrying on or doing business in Connecticut is subject to the state's Corporation Business Tax. Although some are exempt, most corporations in Connecticut must file returns and pay the Corporation Business Tax.</t>
  </si>
  <si>
    <t>Connecticut levies sales and use taxes on the gross receipts of retailers from the sale of tangible personal property, the rental or leasing of tangible personal property, and on the gross receipts from the rendering of certain services.</t>
  </si>
  <si>
    <t>An excise tax is imposed on all cigarettes sold in Connecticut. Sales of cigarettes are also subject the state's Sales and Use Tax.</t>
  </si>
  <si>
    <t>Insurance companies, domestic and foreign, are taxed in Connecticut on the total net direct premiums they receive from policies written on property or risks within the state. Total net direct subscriber charges received on any new or renewal contract or policy by a health care center are also taxed. The State also imposes a tax on premiums for unauthorized insurance. Specifically, insureds who procure nonadmitted insurance are required to remit tax on premiums paid to a nonadmitted insurer. Additionally, risk retention groups are required to pay tax on premiums collected on coverages within the state.</t>
  </si>
  <si>
    <t>Connecticut levies a tax on the gross earnings for entities statutorily defined as “public service companies.” These entities include, but are not limited to: electric distribution companies, municipal gas utilities, gas suppliers, local gas distribution companies, satellite and cable companies, and railroad companies.</t>
  </si>
  <si>
    <t>An excise tax is imposed on all non-cigarette tobacco products, such as cigars, stogies, snuff, pipe, and chewing tobacco. The tax is imposed when the tobacco products are manufactured, imported, or purchased by distributors. Distributors must be licensed annually and remit the tax on a monthly basis.</t>
  </si>
  <si>
    <t>Motor fuel used or sold in Connecticut is subject to the Motor Vehicle Fuels Tax (also known as the "Gas Tax"). "Fuel" includes gasoline, diesel, gasohol, propane, or any combustible gas or liquid that generates the power needed to propel a motor vehicle.</t>
  </si>
  <si>
    <t>A tax is levied on the gross earnings of companies distributing petroleum products in Connecticut. Petroleum products include, but are not limited to, gasoline, aviation fuel, kerosene, diesel fuel, number 2 heating oil, greases, lubricants, mineral oils, and motor oil.</t>
  </si>
  <si>
    <t>0.5% of Sales and Use Tax revenue is currently diverted to the state's Special Transportation Fund to fund transportation infrastructure investments and repairs.</t>
  </si>
  <si>
    <t>Connecticut levies sales and use taxes on the casual sale of passenger vehicles, light duty trucks (1991 model year and newer), boats, airplanes, and snowmobiles purchased from private owners.</t>
  </si>
  <si>
    <t>Credit establishes a $2.5 million cap on the amount a combined group's tax, calculated on a unitary basis, can exceed the tax it would have paid on a separate basis (i.e., its nexus combined base tax).</t>
  </si>
  <si>
    <t>Exempt from the Sales and Use Tax: Advertising agency services, advertising time and space in all media, and cooperative direct mail advertising.</t>
  </si>
  <si>
    <t>Exempt from the Sales and Use Tax: Amusement and recreation services.</t>
  </si>
  <si>
    <t>Administered by the Connecticut Department of Labor, this credit is available to businesses in the construction, manufacturing, plastics, and plastics-related trades who employ apprentices. For the manufacturing and plastics trades, the credit is the lesser of: (1) 50% of the actual wages paid to apprentices in the income year or (2) up to $7,500 per apprenticeship. For the construction trades, the credit is the lesser of: (1) 50% of the actual wages paid to the apprentice or (2) up to $4,000 per apprenticeship. The construction trades credit is awarded in the year the apprentice completes a 4-year program. Pass-through entities may earn the manufacturing apprenticeship credit, which may be sold, assigned, or transferred in whole or in part no more than three times, and may be utilized against the Corporation Business Tax, Public Service Companies Tax, or the Petroleum Products Gross Earnings Tax. There are no carryback or carryforward provisions.</t>
  </si>
  <si>
    <t>Exempt from the Sales and Use Tax: Sales, use, or other consumption of (A) calibration services for machinery, equipment, or instrumentation used in a manufacturing production process; or (B) other sales, use, or other consumption of services or compliance practices associated with registration and compliance of quality management and quality assurance standards as part of standards created by the International Organization of Standards.</t>
  </si>
  <si>
    <t xml:space="preserve">The following are exempted from the Sales and Use Tax:
(1) Gas, electricity, and heating fuel for residential use.
(2) Water, steam, and telegraph.
(3) Monthly charges of $150 or less for electricity not otherwise exempt.
(4) Gas, water, steam, or electricity used in furnishing the same to consumers.
</t>
  </si>
  <si>
    <t>The statute phases down the tax rate on such services from the Sales and Use Taxes to 1%, permanently effective July 1, 2004. Computer and data processing services include services rendered in connection with the world wide web as of October 1, 2015.</t>
  </si>
  <si>
    <t>Credit is for personal and real property taxes paid on the taxpayer's primary residence or a motor vehicle. The credit is limited to two motor vehicles for Joint Filers and one motor vehicle for Single, Head of Household, and Married Filing Separate Filers.</t>
  </si>
  <si>
    <t>A refundable state earned income tax credit available to taxpayers who work and earn incomes below certain levels.  Credit amounts vary according to a taxpayer’s income, filing, status, and the number of children the taxpayer has.</t>
  </si>
  <si>
    <t>Credit is available for 100% of the local property taxes paid on electronic data processing equipment, including: computers, printers, peripheral computer equipment, bundled software, and any other related equipment reported as Code 20 on the Personal Property Declaration. The credit is only for property tax liability and excludes any interest or penalties a taxpayer may also be required to pay. It may only be taken when filing a final return and may not be used to calculate estimated payments. Unused credits may be carried forward for five years.</t>
  </si>
  <si>
    <t>Administered by Connecticut’s Department of Economic and Community Development (DECD), this credit is available to companies that produce qualified entertainment content wholly, or in part, in Connecticut. Qualified activities include production of: (1) motion pictures, (2) television programming, (3) sound recordings, (4) music videos, (5) video games, (6) commercials (infomercials are ineligible), and (7) certain interactive websites.</t>
  </si>
  <si>
    <t>Administered by Connecticut’s Department of Economic and Community Development (DECD), this credit is available for investments in state-certified infrastructure projects for the film and digital media industry.</t>
  </si>
  <si>
    <t>Credit is available for fixed capital that (1) has an IRS class life of more than 4 years, (2) was not purchased from a related entity, (3) is not leased to another entity within 12 months of purchase, and (4) will be located and used in Connecticut for at least 5 full years following acquisition. The credit is for 5% of qualified expenditures. There is a recapture provision if the fixed capital for which the credit is claimed is not located and used in Connecticut for 3 full years following its acquisition (100% credit recapture) or five full years following its acquisition (50% credit recapture). Unused credits may be carried forward five years.</t>
  </si>
  <si>
    <t>Credit is available for expenses related to: (1) job training; (2) work education; (3) donations or contributions to higher education institutions for the advancement of technology, including physical plant improvements; (4) day care facilities for children of employees; (5) childcare subsidies to employees; or (6) donations and contributions to the Individual Development Account Reserve Fund. The credit is 5% of qualified expenditures. Unused credits may be carried forward 5 years.</t>
  </si>
  <si>
    <t>Credit is for 80% of the Connecticut Insurance Department assessment paid by local domestic insurance companies whose assets do not exceed $95.0 million during the calendar year.</t>
  </si>
  <si>
    <t>Administered by Connecticut’s Department of Economic and Community Development (DECD), this credit is available to investors in Insurance Reinvestment Funds. The credit is equal to the amount invested, which is taken over a 10-year period. Managers of eligible funds must have registered with the DECD by July 1, 2000 in order for their investors to claim this credit. The credit has recapture provisions under certain circumstances. Unused credits may be carried forward for five years.</t>
  </si>
  <si>
    <t>Exempt from the Sales and Use Tax: Sales of any items purchased with federal food stamp coupons.</t>
  </si>
  <si>
    <t>Credit is available to small and medium-sized companies for the incremental increase in capital goods expenditures over the previous year. The credit is 10% for companies with 250 or fewer full-time, permanent employees and 5% for companies with 251 to 800 employees. There are no carryback or carryforward provisions.</t>
  </si>
  <si>
    <t>Exempt from the Sales and Use Tax: Sales of, and the storage, use, or other consumption of, machinery used directly in a manufacturing production process. The word "machinery" means the basic machine itself and includes all of its component parts and contrivances that are used or required to control, regulate, or operate the machinery, or to enhance or alter its productivity or functionality.</t>
  </si>
  <si>
    <t>Exempt from the Sales and Use Tax: Sales of, and the storage, use, or other consumption of repair or replacement parts exclusively for use (A) in aircraft, or (B) in the significant overhauling or rebuilding of aircraft or aircraft parts or components on a factory basis.</t>
  </si>
  <si>
    <t>Exempt from the Sales and Use Tax: Sales and the storage, use, or other consumption of bunker fuel oil, intermediate fuel, marine diesel oil, and marine gas oil for use in any vessel having a displacement exceeding 4,000 dead weight tons, or for use in any vessel primarily engaged in interstate commerce.</t>
  </si>
  <si>
    <t>Exempt from the Sales and Use Tax: Gross receipts from the distribution of, and the storage, use, or other consumption in Connecticut of, motor vehicle fuel that is subject to the Motor Fuels Tax.</t>
  </si>
  <si>
    <t>Exempt from the Sales and Use Tax: The sale of any motor vehicle or vessel in Connecticut when the purchaser of such motor vehicle or vessel is not a resident of this state and does not maintain a permanent place of abode in this state.</t>
  </si>
  <si>
    <t>A 60% credit of the amount contributed is available for expenditures on activities approved by municipalities such as: (1) neighborhood assistance, (2) job training or education, (3) community services, (4) crime prevention, (5) cash donations used for purchase of open space, or (6) community-based alcoholism prevention or treatment programs. A 100% credit is available for energy conservation or construction or rehabilitation of dwelling units for families of low and moderate income. The minimum amount for which a credit is granted is $250 with an annual credit limit per business firm of $150,000. A nonprofit organization is limited to receiving $150,000 in contributions in the aggregate, and the annual limit for all firms is $5 million. Unused credits may be carried back for two years.</t>
  </si>
  <si>
    <t>Deduction is for net capital losses, as defined by federal corporate income tax law. The deduction can be carried forward for 5 years.</t>
  </si>
  <si>
    <t>Exempt from the Sales and Use Tax: Sales of the following nonprescription drugs or medicines available for purchase for use in or on the body: vitamin or mineral concentrates; dietary supplements; natural or herbal drugs or medicines; products intended to be taken for coughs, cold, asthma or allergies, or antihistamines; laxatives; antidiarrheal medicines; analgesics; antibiotic, antibacterial, antiviral and antifungal medicines; antiseptics; astringents; anesthetics; steroidal medicines; anthelmintics; emetics and antiemetics; antacids; and any medication prepared to be used in the eyes, ears, or nose. Nonprescription drugs or medicines shall not include cosmetics, dentrifrices, mouthwash, shaving and hair care products, soaps, or deodorants.</t>
  </si>
  <si>
    <t>Exemption is for premiums from the sale of ocean and inland marine insurance of nonresident and foreign companies.</t>
  </si>
  <si>
    <t>Exempt from the Sales and Use Tax: Sales of, and the storage, use, or other consumption of, (A) oxygen, blood, or blood plasma when sold for medical use in humans or animals; (B) artificial devices individually designed, constructed, or altered solely for the use of a particular handicapped person so as to become a brace, support, supplement, correction, or substitute for the bodily structure, and repair or replacement parts and repair services; (C) artificial limbs, artificial eyes, and other equipment worn as a correction or substitute for any functioning portion of the body, such as custom-made wigs or hairpieces for persons with medically diagnosed total and permanent hair loss, and repair or replacement parts and repair services; (D) crutches, walkers, wheel chairs, and inclined stairway chairlifts for the use of invalids and handicapped persons, and repair or replacement parts and repair services; and (E) any equipment used in support of or to supply vital life functions, and repair or replacement parts and repair services.</t>
  </si>
  <si>
    <t>Exempt from the Sales and Use Tax: Therapeutic and diagnostic medical services provided by a hospital to inpatients and outpatients, including tangible personal property transferred in connection with such services.</t>
  </si>
  <si>
    <t>Exempt from the Sales and Use Tax: Sales of, and the storage, use, or other consumption of, medicine only by prescription as defined by federal or state law, including such medicine provided for no consideration and the sales of syringes and needles only by prescription. Also exempt from the Sales and Use Tax are sales of, and the storage, use, or other consumption of, materials, including materials used in packaging, which become an ingredient or component part of medicine only by prescription, as defined by federal or state law.</t>
  </si>
  <si>
    <t>Exempt from the Sales and Use Tax: Sales of renovation and repair services of: paving of any sort; painting or staining; wallpapering; roofing; and siding and exterior sheet metal work other than industrial, commercial or income-producing real property.</t>
  </si>
  <si>
    <t>Credit is available for incremental increases in research and experimental expenditures incurred in Connecticut. The credit is 20% of the amount by which expenditures in the current income year exceed expenditures in the preceding year. Unused credits may be carried forward for 15 years.</t>
  </si>
  <si>
    <t>Companies with less than $70 million in gross sales that cannot take other statutorily-defined research and development credits because they do not have a tax liability, are permitted to sell unused credits back to the State at 65% of their value. The maximum annual refund is $1.5 million per company.</t>
  </si>
  <si>
    <t>“Food Products” are exempt from the Sales and Use Tax. "Food products" include cereals and cereal products, milk and milk products, oleomargarine, meat and meat products, fish and fish products, eggs and egg products, vegetables and vegetable products, fruit and fruit products, spices and salt, sugar and sugar products other than candy and confectionery, coffee and coffee substitutes, tea, and cocoa and cocoa products other than candy and confectionery. "Food products" do not include spirituous, malt, or vinous liquors; and soft drinks, sodas, or beverages such as are ordinarily dispensed at bars and soda fountains. "Food products" also do not include meals sold by an eating establishment or caterer.</t>
  </si>
  <si>
    <t>Exempt from the Sales and Use Tax: (A) Sales of tangible personal property or services to the United States, the State of Connecticut, or any of the political subdivisions thereof or its or their respective agencies; (B) sales of tangible personal property or services to develop property the State of Connecticut is under contract to purchase through a long-term financing contract.</t>
  </si>
  <si>
    <t>Exempt from the Sales and Use Tax: Sales of tangible personal property or services to any organization exempt from federal income tax under Section 501(a) of the Internal Revenue Code of 1986, and that the U.S. Department of the Treasury has expressly determined to be an organization described in Section 501(c)(3) or (13) of said Internal Revenue Code.</t>
  </si>
  <si>
    <t>Exempt from the Sales and Use Tax: (1) solar electric, space, and water heating systems and related equipment and installation services; (2) geothermal systems and related equipment and installation services; and (3) ice storage systems used for cooling, and related equipment and installation services for utility customers billed on time-of-use rates.</t>
  </si>
  <si>
    <t>Exemption is for premiums for state employee health plans.</t>
  </si>
  <si>
    <t>Where a trade-in of a motor vehicle is received by a motor vehicle dealer (upon the sale of another motor vehicle to a consumer) or where a trade-in of an aircraft is received by an aircraft dealer (upon the sale of another aircraft to a consumer) or where a trade-in of a farm tractor, snowmobile, or any vessel is received by a retailer of farm tractors, snowmobiles, or such vessels (upon the sale of another farm tractor, snowmobile, or such vessel to a consumer), the tax is only on the difference between the sale price of the motor vehicle, aircraft, snowmobile, farm tractor, or such vessel purchased and the amount allowed on the motor vehicle, aircraft, snowmobile, farm tractor, or such vessel traded in on such purchase.</t>
  </si>
  <si>
    <t>Administered by Connecticut’s Department of Economic and Community Development (DECD), this credit is available for investments associated with urban site remediation and is allowable over 10 years. The credit amount may not exceed the amount of state revenue DECD determines will be generated by the site. There is a recapture provision if the actual amount of revenue generated is less than the total sum of tax credits claimed. The credit is limited to $100 million per project and $800 million for all projects. Unused credits may be carried forward for five years or assigned to another taxpayer. The credit may be used against Connecticut’s Corporation Business Tax, Insurance Premiums Tax, Public Service Companies Tax, and other miscellaneous tax liabilities.</t>
  </si>
  <si>
    <t>Exempt from the Sales and Use Tax: Sales of fuel used for heating purposes, gas, and electricity in any building, location, or premise utilized directly in: (1) agricultural production or fabrication of a finished product to be sold, or (2) an industrial manufacturing plant. The exemption is allowed only in a location in which not less than 75 percent of the gas, electricity, or fuel used in such location is used for the purpose of such production, fabrication, or manufacturing.</t>
  </si>
  <si>
    <t>Expand Connecticut’s bottle deposit bill to include juices, teas, and sports drinks.</t>
  </si>
  <si>
    <t>Adjust motor vehicle licenses, permits, and fees (which encompasses multiple revenue accounts, including various fines, motor vehicle fees, and information requests) by the rate of inflation, and apply these revenues to Connecticut’s Special Transportation Fund.</t>
  </si>
  <si>
    <t>Adjust motor vehicle receipts (vehicle registrations, operator licenses, vanity plates, and late fees) by the rate of inflation, and apply these revenues to Connecticut’s Special Transportation Fund.</t>
  </si>
  <si>
    <t>Diesel fuel used or sold in Connecticut is subject to the Special Fuels Tax.</t>
  </si>
  <si>
    <t>Historic Home Rehabilitation: Administered by Connecticut’s Department of Economic and Community Development (DECD), this credit is available for expenses associated with rehabilitating owner-occupied historic homes.
Historic Rehabilitation: Administered by Connecticut’s Department of Economic and Community Development (DECD), this credit, which effectively consolidates the provisions of the Historic Preservation and Historic Structure Rehabilitation tax credits effective January 1, 2014, is for qualified expenditures associated with the rehabilitation of a Certified Historic Structure for either (1) residential use of five units or more, (2) mixed residential and nonresidential use, or (3) nonresidential use consistent with the historic character of such property or the district in which such property is located.</t>
  </si>
  <si>
    <t>Connecticut's tax code includes two personal income "recapture" provisions, which apply to taxpayers whose adjusted gross income (AGI) exceeds certain thresholds. Recapture amounts for each filer type are detailed in Table D of the Connecticut Department of Revenue Services' 2017 Tax Calculation Schedule. Click on "Recapture" for the link labeled "Recapture Explanation."</t>
  </si>
  <si>
    <t>Connecticut levies an additional Sales and Use Tax on certain items, including: the sales of most motor vehicles over $50,000, the sales of jewelry (whether real or imitation) over $5,000, and the sales of an article of clothing or footwear intended to be worn on or about the human body (such as a handbag, luggage, umbrella, wallet, or watch) over $1,000.</t>
  </si>
  <si>
    <t>Source</t>
  </si>
  <si>
    <t>Calculation</t>
  </si>
  <si>
    <t>Sum of all CTAGI within bracket for given filer type</t>
  </si>
  <si>
    <t>Sum of all filers within bracket for given filer type</t>
  </si>
  <si>
    <t>Column</t>
  </si>
  <si>
    <t>Col 2 / Col 3</t>
  </si>
  <si>
    <t>Col 3 * Col 6</t>
  </si>
  <si>
    <t>If Col 4 &lt; Personal Exemption Lower Limit, then Personal Exemption Amount; else, for each $1k Col 4 exceeds Lower Limit, subtract phase-out amount from Personal Exemption amount. Cannot be below 0.</t>
  </si>
  <si>
    <t>If Col 4 &gt; Recapture Amount Lower Limit (either provision), then, for each $1k Col 4 exceeds Lower Limit, add the Recapture Added Tax up to the maximum recapture for that provision; else 0</t>
  </si>
  <si>
    <t>If Col 4 &gt; 3% Phase-out Lower Limit, then for each $1k Col 4 exceeds Lower Limit, add the Phase-out per $1k</t>
  </si>
  <si>
    <t>CT Income Tax</t>
  </si>
  <si>
    <t>Sum of CT Income Tax within bracket for given filer type</t>
  </si>
  <si>
    <t>If Col 4 &lt; Bracket Upper Limit, then greater of Col 4 - Col 5 - Col 9 and 0; otherwise, Upper Limit - Lower Limit + Col 8</t>
  </si>
  <si>
    <t>If Col 4 - Col 5 &lt; Bracket Upper Limit, then greater of Col 4 - Col 5 and 0; otherwise, Upper Limit - Lower Limit - Col 8</t>
  </si>
  <si>
    <t>1 - (Sum of Col 21 : Col 30)</t>
  </si>
  <si>
    <t>Column 10 / (Sum of Col 9 : Col 19)</t>
  </si>
  <si>
    <t>Column 11 / (Sum of Col 9 : Col 19)</t>
  </si>
  <si>
    <t>Column 12 / (Sum of Col 9 : Col 19)</t>
  </si>
  <si>
    <t>Column 13 / (Sum of Col 9 : Col 19)</t>
  </si>
  <si>
    <t>Column 14 / (Sum of Col 9 : Col 19)</t>
  </si>
  <si>
    <t>Column 15 / (Sum of Col 9 : Col 19)</t>
  </si>
  <si>
    <t>If Col 4 &lt; Bracket Upper Limit, then greater of Col 4 - Col 5 - Col 9 - Col 10 and 0; otherwise, Upper Limit - Lower Limit</t>
  </si>
  <si>
    <t>If Col 4 &lt; Bracket Upper Limit, then greater of Col 4 - Col 5 - Col 9 - Col 10 - Col 11 and 0; otherwise, Upper Limit - Lower Limit</t>
  </si>
  <si>
    <t>If Col 4 &lt; Bracket Upper Limit, then greater of Col 4 - Col 5 - Col 9 - Col 10 - Col 11 - Col 12 and 0; otherwise, Upper Limit - Lower Limit</t>
  </si>
  <si>
    <t>If Col 4 &lt; Bracket Upper Limit, then greater of Col 4 - Col 5 - Col 9 - Col 10 - Col 11 - Col 12 - Col 13 and 0; otherwise, Upper Limit - Lower Limit</t>
  </si>
  <si>
    <t>Greater of Col 4 - Col 5 - Col 9 - Col 10 - Col 11 - Col 12 - Col 13 - Col 14 and 0</t>
  </si>
  <si>
    <t>Placeholder (Reserved for new tax brackets)</t>
  </si>
  <si>
    <t>Placeholder (Reserved for new tax rates)</t>
  </si>
  <si>
    <t>Tax Bracket</t>
  </si>
  <si>
    <t>Sum of Col 31 (PIT and PIT - NRPY sheets) for the tax bracket across all filer types</t>
  </si>
  <si>
    <t>Sum of Col 31 multiplied by Col 20 (PIT and PIT - NRPY sheets) for the tax bracket across all filer types / Col 1</t>
  </si>
  <si>
    <t>Sum of Col 31 multiplied by Col 21 (PIT and PIT - NRPY sheets) for the tax bracket across all filer types / Col 1</t>
  </si>
  <si>
    <t>Sum of Col 31 multiplied by Col 22 (PIT and PIT - NRPY sheets) for the tax bracket across all filer types / Col 1</t>
  </si>
  <si>
    <t>Sum of Col 31 multiplied by Col 23 (PIT and PIT - NRPY sheets) for the tax bracket across all filer types / Col 1</t>
  </si>
  <si>
    <t>Sum of Col 31 multiplied by Col 24 (PIT and PIT - NRPY sheets) for the tax bracket across all filer types / Col 1</t>
  </si>
  <si>
    <t>Sum of Col 31 multiplied by Col 25 (PIT and PIT - NRPY sheets) for the tax bracket across all filer types / Col 1</t>
  </si>
  <si>
    <t>Sum of Col 31 multiplied by Col 26 (PIT and PIT - NRPY sheets) for the tax bracket across all filer types / Col 1</t>
  </si>
  <si>
    <t>(Col 2 * Col 2 Rate) / (Col 2 * Col 2 Rate + Col 3 * Col 3 Rate + Col 4 * Col 4 Rate + Col 5 * Col 5 Rate + Col 6 * Col 6 Rate + Col 7 * Col 7 Rate + Col 8 * Col 8 Rate)</t>
  </si>
  <si>
    <t>(Col 3 * Col 3 Rate) / (Col 2 * Col 2 Rate + Col 3 * Col 3 Rate + Col 4 * Col 4 Rate + Col 5 * Col 5 Rate + Col 6 * Col 6 Rate + Col 7 * Col 7 Rate + Col 8 * Col 8 Rate)</t>
  </si>
  <si>
    <t>(Col 4 * Col 4 Rate) / (Col 2 * Col 2 Rate + Col 3 * Col 3 Rate + Col 4 * Col 4 Rate + Col 5 * Col 5 Rate + Col 6 * Col 6 Rate + Col 7 * Col 7 Rate + Col 8 * Col 8 Rate)</t>
  </si>
  <si>
    <t>(Col 5 * Col 5 Rate) / (Col 2 * Col 2 Rate + Col 3 * Col 3 Rate + Col 4 * Col 4 Rate + Col 5 * Col 5 Rate + Col 6 * Col 6 Rate + Col 7 * Col 7 Rate + Col 8 * Col 8 Rate)</t>
  </si>
  <si>
    <t>(Col 6 * Col 6 Rate) / (Col 2 * Col 2 Rate + Col 3 * Col 3 Rate + Col 4 * Col 4 Rate + Col 5 * Col 5 Rate + Col 6 * Col 6 Rate + Col 7 * Col 7 Rate + Col 8 * Col 8 Rate)</t>
  </si>
  <si>
    <t>(Col 7 * Col 7 Rate) / (Col 2 * Col 2 Rate + Col 3 * Col 3 Rate + Col 4 * Col 4 Rate + Col 5 * Col 5 Rate + Col 6 * Col 6 Rate + Col 7 * Col 7 Rate + Col 8 * Col 8 Rate)</t>
  </si>
  <si>
    <t>(Col 8 * Col 8 Rate) / (Col 2 * Col 2 Rate + Col 3 * Col 3 Rate + Col 4 * Col 4 Rate + Col 5 * Col 5 Rate + Col 6 * Col 6 Rate + Col 7 * Col 7 Rate + Col 8 * Col 8 Rate)</t>
  </si>
  <si>
    <t>Adjustment Factor (Consensus Estimate divided by DRS CT Income Tax Total)</t>
  </si>
  <si>
    <t>Total CT Income Tax from DRS tables</t>
  </si>
  <si>
    <t>Recapture Removed (Total by Rate minus Col 24)</t>
  </si>
  <si>
    <t>Model Numbers (Recapture Removed * Adjustment Factor (Console))</t>
  </si>
  <si>
    <t>Sum of Col 7 (PIT and PIT - NRPY sheets) for the tax bracket across all filer types</t>
  </si>
  <si>
    <t>Total Revenue by Tax Rate (SUMPRODUCT (Col 1, Current Column))</t>
  </si>
  <si>
    <t>Percentage of state revenue coming from each rate by bracket</t>
  </si>
  <si>
    <t>Percentage of CT AGI taxed in each rate by bracket</t>
  </si>
  <si>
    <t>CTAGI Taxed at each rate</t>
  </si>
  <si>
    <t>Percent of CTAGI Taxed in each rate</t>
  </si>
  <si>
    <t>Sources</t>
  </si>
  <si>
    <t>Source 2 (See Console)</t>
  </si>
  <si>
    <t>Conn. Gen. Statutes ch. 229, § 12-700(a)(9).</t>
  </si>
  <si>
    <t>Conn. Gen. Statutes ch. 229, § 12-702.</t>
  </si>
  <si>
    <t>Source 3 (See Console)</t>
  </si>
  <si>
    <t>Source 4 (See Console)</t>
  </si>
  <si>
    <t>Table 1: Personal Income Tax - Enter Rate and Bracket Threshold</t>
  </si>
  <si>
    <t>Table 2: Adjustment Factor</t>
  </si>
  <si>
    <t>Table 3: Personal Exemption</t>
  </si>
  <si>
    <t>Table 4: 3% Phase-out</t>
  </si>
  <si>
    <t>Table 5: Recapture (first provision)</t>
  </si>
  <si>
    <t>Table 6: Recapture (second provision)</t>
  </si>
  <si>
    <t>Summary</t>
  </si>
  <si>
    <t>Sheet</t>
  </si>
  <si>
    <t>Tableau - Slides</t>
  </si>
  <si>
    <t>This sheet contains data that feeds directly into Tableau and is needed for the Revenue Tool to operate. Each cell in the first column references a specific dashboard. The dashboard actions to switch between sheets using the arrows relies upon this Excel worksheet.</t>
  </si>
  <si>
    <t>Consensus Est.</t>
  </si>
  <si>
    <t>Tableau - Rates</t>
  </si>
  <si>
    <t>Console</t>
  </si>
  <si>
    <t xml:space="preserve">This sheet contains the inputs for the Personal Income Tax revenue by tax rate calculation. </t>
  </si>
  <si>
    <t>This sheet contains the initial and intermediate calculations for personal income tax revenue by rate for resident taxpayers.</t>
  </si>
  <si>
    <t>PIT - NRPY</t>
  </si>
  <si>
    <t>This sheet contains the initial and intermediate calculations for personal income tax revenue by rate for nonresident taxpayers.</t>
  </si>
  <si>
    <t>PIT  - Total</t>
  </si>
  <si>
    <t>This sheet contains the final calculations for personal income tax revenue by rate. The outputs of the PIT for the Tableau workbook can be found here.</t>
  </si>
  <si>
    <t>Single - 1040</t>
  </si>
  <si>
    <t>Joint - 1040</t>
  </si>
  <si>
    <t>Married Sep. - 1040</t>
  </si>
  <si>
    <t>Single - NRPY</t>
  </si>
  <si>
    <t>Joint - NRPY</t>
  </si>
  <si>
    <t>Married Sep. - NRPY</t>
  </si>
  <si>
    <t>Head of House - NRPY</t>
  </si>
  <si>
    <t>Head of House - 1040</t>
  </si>
  <si>
    <t>This sheet was copied from the most recent DRS Individual Income Tax Table report. An additional column was added to the far left with the upper end of the income range of the row.</t>
  </si>
  <si>
    <t>Taxes</t>
  </si>
  <si>
    <t>Details</t>
  </si>
  <si>
    <t>Sales &amp; Use</t>
  </si>
  <si>
    <t>The corporate tax comes from the consensus revenue estimates.</t>
  </si>
  <si>
    <t>The insurance tax comes from the consensus revenue estimates.</t>
  </si>
  <si>
    <t>The public service tax comes from the consensus revenue estimates.</t>
  </si>
  <si>
    <t>The estate tax comes from the consensus revenue estimates.</t>
  </si>
  <si>
    <t>The oil companies (petroleum gross earnings) tax comes from the consensus revenue estimates.</t>
  </si>
  <si>
    <t>Table 7:</t>
  </si>
  <si>
    <t>Table 8:</t>
  </si>
  <si>
    <t>Table 9:</t>
  </si>
  <si>
    <t>Table 10:</t>
  </si>
  <si>
    <t>Table 11:</t>
  </si>
  <si>
    <t>Table 12:</t>
  </si>
  <si>
    <t>Table 13:</t>
  </si>
  <si>
    <t>Table 14:</t>
  </si>
  <si>
    <t>Model</t>
  </si>
  <si>
    <t>Revision</t>
  </si>
  <si>
    <t>OSC Revenue Tool</t>
  </si>
  <si>
    <t>Item</t>
  </si>
  <si>
    <t>Increase Bottle Deposit</t>
  </si>
  <si>
    <t>Increase Excise Tax</t>
  </si>
  <si>
    <t>Increase Motor Vehicle Licenses, Permits, and Fees</t>
  </si>
  <si>
    <t>Increase Motor Vehicle Receipts</t>
  </si>
  <si>
    <t>Increase Transportation Fees</t>
  </si>
  <si>
    <t>Tax Credits and Exemptions</t>
  </si>
  <si>
    <t>DRS Annual Report</t>
  </si>
  <si>
    <r>
      <t xml:space="preserve">Malloy, D. P. (2017). </t>
    </r>
    <r>
      <rPr>
        <i/>
        <sz val="8"/>
        <color theme="1"/>
        <rFont val="Arial"/>
        <family val="2"/>
      </rPr>
      <t>Connecticut Compromise Budget Proposal for the FY 2018 - FY 2019 Biennium</t>
    </r>
    <r>
      <rPr>
        <sz val="8"/>
        <color theme="1"/>
        <rFont val="Arial"/>
        <family val="2"/>
      </rPr>
      <t>. Hartford, CT: State of Connecticut, Office of the Governor. Available from http://portal.ct.gov/-/media/Office-of-the-Governor/Press-Room/20170908-Gov-Malloys-Compromise-Budget.pdf?la=en.</t>
    </r>
  </si>
  <si>
    <r>
      <t xml:space="preserve">State of Connecticut, Office of the Governor, Transportation Finance Panel. (2016). </t>
    </r>
    <r>
      <rPr>
        <i/>
        <sz val="8"/>
        <color theme="1"/>
        <rFont val="Arial"/>
        <family val="2"/>
      </rPr>
      <t>Final Report</t>
    </r>
    <r>
      <rPr>
        <sz val="8"/>
        <color theme="1"/>
        <rFont val="Arial"/>
        <family val="2"/>
      </rPr>
      <t>. Hartford, CT: Author. Retrieved from https://cga.ct.gov/2017/tradata/od/2-24-17%20%20Cam%20Staples,%20Transportation%20Finance%20Panel-OD.pdf.</t>
    </r>
  </si>
  <si>
    <t>New Tax Options:</t>
  </si>
  <si>
    <t>Data Sources:</t>
  </si>
  <si>
    <t>This sheet contains citations for data items in the workbook.</t>
  </si>
  <si>
    <t>Consensus Revenue Estimate</t>
  </si>
  <si>
    <t>Most Recent DRS Actual (Table VI)</t>
  </si>
  <si>
    <t>Output</t>
  </si>
  <si>
    <t>Sales Tax - General Rate</t>
  </si>
  <si>
    <t>Sales Tax - Luxury Rate</t>
  </si>
  <si>
    <t>Cigarette and Tobacco Tax</t>
  </si>
  <si>
    <t>Cigarettes Most Recent DRS Actual</t>
  </si>
  <si>
    <t>Tobacco Most Recent DRS Actual</t>
  </si>
  <si>
    <t>Tobacco Tax</t>
  </si>
  <si>
    <t>Motor Vehicle Fuel Tax</t>
  </si>
  <si>
    <t>Gas Tax</t>
  </si>
  <si>
    <t>Special Fuels Tax</t>
  </si>
  <si>
    <t>Sales Tax - Other Rates</t>
  </si>
  <si>
    <t>Gasoline Revenue (Most Recent)</t>
  </si>
  <si>
    <t>Special Fuel Revenue (Most Recent)</t>
  </si>
  <si>
    <t>Excel Sheet Color Key:</t>
  </si>
  <si>
    <t>Documentation</t>
  </si>
  <si>
    <t>Tableau Inputs</t>
  </si>
  <si>
    <t>Base Revenue Calc.</t>
  </si>
  <si>
    <t>DRS Tax Tables</t>
  </si>
  <si>
    <t>Other Tax Rates</t>
  </si>
  <si>
    <t>This sheet contains the inputs and calculations for all other taxes that require disaggregation.</t>
  </si>
  <si>
    <t>Credit for Property Taxes Paid</t>
  </si>
  <si>
    <t>The credit is for Personal and Real Property Taxes paid on the taxpayer's primary residence or a motor vehicle. The credit is limited to two motor vehicles for Joint Filers and one motor vehicle for Single, Head of Household, and Married Filing Separate Filers.</t>
  </si>
  <si>
    <t xml:space="preserve">Earned Income Tax Credit </t>
  </si>
  <si>
    <t>A refundable state earned income tax credit available to taxpayers who work and earn incomes below certain levels.  Credit amounts vary according to a taxpayer’s income, filing status, the number of children he or she has.</t>
  </si>
  <si>
    <t>Angel Investor Tax Credit</t>
  </si>
  <si>
    <t>Sales and Use Tax</t>
  </si>
  <si>
    <t>Sales of Food Products for Human Consumption</t>
  </si>
  <si>
    <t>"Food products" include cereals and cereal products, milk and milk products, oleomargarine, meat and meat products, fish and fish products, eggs and egg products, vegetables and vegetable products, fruit and fruit products, spices and salt, sugar and sugar products other than candy and confectionery, coffee and coffee substitutes, tea, and cocoa and cocoa products other than candy and confectionery. "Food products" do not include spirituous, malt or vinous liquors, soft drinks, sodas or beverages such as are ordinarily dispensed at bars and soda fountains, or in connection therewith, medicines except by prescription, tonics and preparations in liquid powdered, granular, tablet, capsule, lozenge, and pill form sold as dietary supplements or adjuncts. "Food products" also do not include meals sold by an eating establishment or caterer.</t>
  </si>
  <si>
    <t>Items Purchased with Food Stamps</t>
  </si>
  <si>
    <t>Sales of any items purchased with federal food stamp coupons.</t>
  </si>
  <si>
    <t>Oxygen, Blood Plasma, Prostheses, Wigs, Hearing Aids, Crutches, Walkers, Wheel Chairs, etc</t>
  </si>
  <si>
    <t>Sales of and the storage, use or other consumption of (A) oxygen, blood or blood plasma when sold for medical use in humans or animals; (B) artificial devices individually designed, constructed or altered solely for the use of a particular handicapped person so as to become a brace, support, supplement, correction, or substitute for the bodily structure, and repair or replacement parts and repair services; (C) artificial limbs, artificial eyes and other equipment worn as a correction or substitute for any functioning portion of the body, custom-made wigs or hairpieces for persons with medically diagnosed total and permanent hair loss, and artificial hearing aids, and repair or replacement parts and repair services; (D) crutches, walkers, wheel chairs and inclined stairway chairlifts for the use of invalids and handicapped persons, and repair or replacement parts and repair services; and (E) any equipment used in support of or to supply vital life functions, and repair or replacement parts and repair services. Repair or replacement parts are exempt whether purchased separately or in conjunction with the item for which they are intended, and whether such parts continue the original function or enhance the functionality of such item.</t>
  </si>
  <si>
    <t>Prescription Medicines, Syringes, and Needles</t>
  </si>
  <si>
    <t>Sales of, and the storage, use, or other consumption of medicine only by prescription as defined by federal or state law, including such medicine provided for no consideration and the sales of syringes and needles only by prescription. Sales of, and the storage, use or other consumption of materials, including materials used in packaging, which become an ingredient or component part of medicine only by prescription, as defined by federal or state law.</t>
  </si>
  <si>
    <t>Non-prescription drugs and medicines</t>
  </si>
  <si>
    <t>Sales of the following non-prescription drugs or medicines available for purchase for use in or on the body: Vitamin or mineral concentrates; dietary supplements; natural or herbal drugs or medicines; products intended to be taken for coughs, cold, asthma or allergies, or antihistamines; laxatives; antidiarrheal medicines; analgesics; antibiotic, antibacterial, antiviral and antifungal medicines; antiseptics; astringents; anesthetics; steroidal medicines; anthelmintics; emetics and antiemetics; antacids; and any medication prepared to be used in the eyes, ears or nose. Nonprescription drugs or medicines shall not include cosmetics, dentrifrices, mouthwash, shaving and hair care products, soaps or deodorants.</t>
  </si>
  <si>
    <t>Certain Utilities Sales</t>
  </si>
  <si>
    <t>The exemption applies to the following: 
(1) Gas, electricity, and heating fuel for residential use. 
(2) Water, steam, and telegraph. 
(3) Monthly charges of one hundred fifty dollars or less for electricity not otherwise exempt. 
(4) Gas, water, steam, or electricity used in furnishing same to consumers.</t>
  </si>
  <si>
    <t>Utilities for Agriculture/Manufacturing</t>
  </si>
  <si>
    <t>Sales of fuel used for heating purposes, gas, and electricity in any building, location, or premise utilized directly in: (1) agricultural production, fabrication of a finished product to be sold or (2) an industrial manufacturing plant. The exemption is allowed only in a location in which not less than seventy-five percent of the gas, electricity, or fuel used in such location is used for the purpose of such production, fabrication, or manufacturing.</t>
  </si>
  <si>
    <t>Motor Vehicle Fuel</t>
  </si>
  <si>
    <t>Gross receipts from the distribution of, and the storage, use, or other consumption in the state of motor vehicle fuel that is subject to the motor fuels tax.</t>
  </si>
  <si>
    <t>Solar Energy, Geothermal, and Ice Storage Systems</t>
  </si>
  <si>
    <t>The exemption includes (1) solar electric and space and water heating systems and related equipment and installation services, (2) geothermal systems and related equipment and installation services, and (3) ice storage systems used for cooling and related equipment and installation services for utility customers billed on time-of-use rates.</t>
  </si>
  <si>
    <t>Machinery used in Manufacturing and Component Parts for Assembly of Manufacturing Machinery and Production Materials</t>
  </si>
  <si>
    <t>Sales of and the storage, use or other consumption of machinery used directly in a manufacturing production process. The word "machinery" means the basic machine itself, and includes all of its component parts and contrivances which are used or required to control, regulate or operate the machinery or to enhance or alter its productivity or functionality.</t>
  </si>
  <si>
    <t>Aircraft Repair, Replacement Parts; Aircraft Repair Services; etc</t>
  </si>
  <si>
    <t>Sales of and the storage, use or other consumption of repair or replacement parts exclusively for use (A) in aircraft, or (B) in the significant overhauling or rebuilding of aircraft or aircraft parts or components on a factory basis.</t>
  </si>
  <si>
    <t>Marine Fuel</t>
  </si>
  <si>
    <t>Sales and the storage, use or other consumption of bunker fuel oil, intermediate fuel, marine diesel oil and marine gas oil for use in any vessel having a displacement exceeding four thousand dead weight tons or for use in any vessel primarily engaged in interstate commerce.</t>
  </si>
  <si>
    <t>Computer and Data Processing</t>
  </si>
  <si>
    <t>The statute phases down the tax rate on such services from the Sales and Use Taxes to 1% permanently effective July 1, 2004. Computer and data processing services include services rendered in connection with the world wide web as of October 1, 2015.</t>
  </si>
  <si>
    <t>Calibration Services and ISO Services</t>
  </si>
  <si>
    <t>Sales, use or other consumption of (A) calibration services for machinery, equipment or instrumentation used in a manufacturing production process; or (B) other sales, use or other consumption of services or compliance practices associated with registration and compliance of quality management and quality assurance standards as part of standards created by the International Organization of Standards.</t>
  </si>
  <si>
    <t>Renovation &amp; Repair for Residential Property</t>
  </si>
  <si>
    <t>Sales of renovation and repair services of paving of any sort, painting or staining, wallpapering, roofing, siding and exterior sheet metal work other than industrial, commercial or income producing real property.</t>
  </si>
  <si>
    <t>Patient Care Services</t>
  </si>
  <si>
    <t>Patient care services means therapeutic and diagnostic medical services provided by the hospital to inpatients and outpatients including tangible personal property transferred in connection with such services.</t>
  </si>
  <si>
    <t>Amusement and Recreation Services</t>
  </si>
  <si>
    <t>Amusement and recreation services.</t>
  </si>
  <si>
    <t>Advertising</t>
  </si>
  <si>
    <t>Advertising agency services, advertising time and space in all media, and cooperative direct mail advertising.</t>
  </si>
  <si>
    <t>Sales to Government organizations</t>
  </si>
  <si>
    <t>(A) Sales of tangible personal property or services to the United States, the state of Connecticut or any of the political subdivisions thereof, or its or their respective agencies; (B) sales of tangible personal property or services used to develop property which the state of Connecticut is under contract to purchase through a long-term financing contract; (C) sales and use of any services or tangible personal property to be incorporated into or used or otherwise consumed in (i) the demolition, remediation or preparation of the Adriaen's Landing site and the stadium facility site for purposes of the overall project, each as defined in section 32-651, (ii) the construction of the convention center, the Connecticut Center for Science and Exploration, the stadium facility and the related parking facilities and site preparation and infrastructure improvements, each as defined in section 32-651, or (iii) the construction of any future capital improvement to the convention center, the stadium facility or the related parking facilities.</t>
  </si>
  <si>
    <t>Sales to Nonprofit organizations</t>
  </si>
  <si>
    <t>Sales of tangible personal property or services to any organization exempt from federal income tax under Section 501(a) of the Internal Revenue Code of 1986 and that the United State Treasury Department has expressly determined to be an organization that is described in Section 501(c)(3) or (13) of said internal revenue code.</t>
  </si>
  <si>
    <t>Motor Vehicles &amp; Vessels Purchased by Non-Residents to use Out of State</t>
  </si>
  <si>
    <t>The sale of any motor vehicle or vessel, as defined in section 15-127, in this state when the purchaser of such motor vehicle or vessel is not a resident of this state and does not maintain a permanent place of abode in this state, provided such motor vehicle or vessel is not presented for registration with the Department of Motor Vehicles in this state and such purchaser submits any affidavit or other evidence as may be requested by the Commissioner of Revenue Services concerning such purchaser's residency or place of abode.</t>
  </si>
  <si>
    <t>Trade-In of Motor Vehicles, Snowmobiles, Vessels or Farm Tractors, Certain Construction Equipment</t>
  </si>
  <si>
    <t>Where a trade-in of a motor vehicle is received by a motor vehicle dealer, upon the sale of another motor vehicle to a consumer, or where a trade-in of an aircraft, as defined in subdivision (5) of section 15-34, is received by an aircraft dealer, upon the sale of another aircraft to a consumer, or where a trade-in of a farm tractor, snowmobile or any vessel, as defined in section 15-127, is received by a retailer of farm tractors, snowmobiles or such vessels upon the sale of another farm tractor, snowmobile or such vessel to a consumer, the tax is only on the difference between the sale price of the motor vehicle, aircraft, snowmobile, farm tractor or such vessel purchased and the amount allowed on the motor vehicle, aircraft, snowmobile, farm tractor or such vessel traded in on such purchase. When any such motor vehicle, aircraft, snowmobile, farm tractor or such vessel traded in is subsequently sold to a consumer or user, the tax provided for in this chapter applies.</t>
  </si>
  <si>
    <t>Corporation Tax</t>
  </si>
  <si>
    <t>Net Operating loss Carry-Forward</t>
  </si>
  <si>
    <t>Net Capital Loss Carry-Forward</t>
  </si>
  <si>
    <t>The deduction is for net capital losses, as defined by federal corporate income tax law. The deduction can be carried forward for 5 years.</t>
  </si>
  <si>
    <t>$2.5 Million Cap on Unitary Liability</t>
  </si>
  <si>
    <t>The credit establishes a $2.5 million cap on the amount a combined group's tax, calculated on a unitary basis, can exceed the tax it would have paid on a separate basis (i.e., its nexus combined base tax).</t>
  </si>
  <si>
    <t>Apprenticeship</t>
  </si>
  <si>
    <t>The credit is available to businesses in the construction, manufacturing, plastics and plastics-related trades that employ apprentices. It is administered by the Department of Labor. For the manufacturing and plastics trades, the credit is the lesser of: (1) 50% of the actual wages paid to apprentices in the income year or (2) up to $7,500 per apprenticeship. For the construction trades, the credit is the lesser of: (1) 50% of the actual wages paid to the apprentice or (2) up to $4,000 per apprenticeship. The construction trades credit is awarded in the year the apprentice completes a 4-year program. Pass-through entities may earn the manufacturing apprenticeship credit which may be sold, assigned, or transferred in whole or in part no more than three times and may be utilized against the Corporation Business Tax, Public Service Companies Tax, or the Petroleum Products Gross Earnings Tax. There are no carryback or carryforward provisions.</t>
  </si>
  <si>
    <t>Electronic Data Processing</t>
  </si>
  <si>
    <t>The credit is available for 100% of the local property tax paid on electronic data processing equipment, including computers, printers, peripheral computer equipment, bundled software and any other related equipment reported as Code 20 on the Personal Property Declaration. The credit is only for property tax liability and excludes any interest or penalties that the taxpayer may also be required to pay. It may only be taken when filing a final return and may not be used to calculate estimated payments. Unused credits may be carried forward for five years.</t>
  </si>
  <si>
    <t>Film Production</t>
  </si>
  <si>
    <t>The credit is available to companies that produce qualified entertainment content wholly or in part in this state. Qualified activities include production of: (1) motion pictures, (2) television programming, (3) sound recordings, (4) music videos, (5) video games, (6) commercials (infomercials are ineligible) and (7) certain interactive websites. The credit is administered by the Department of Economic and Community Development (DECD).</t>
  </si>
  <si>
    <t>Film Production Infrastructure</t>
  </si>
  <si>
    <t>The credit is available for investments in state-certified infrastructure projects for the film and digital media industry. It is administered by the Department of Economic and Community Development.</t>
  </si>
  <si>
    <t>Fixed Capital</t>
  </si>
  <si>
    <t>The credit is available for fixed capital which: (1) has an IRS class life of more than 4 years; (2) was not purchased from a related entity; (3) is not leased to another entity within 12 months of purchase; and (4) will be located and used in state for at least 5 full years following acquisition. The credit is 5% of qualified expenditures. There is a recapture provision if the fixed capital for which the credit is claimed is not located and used in state for 3 full years following its acquisition (100% credit recapture) or five full years following its acquisition (50% credit recapture). Unused credits may be carried forward five years.</t>
  </si>
  <si>
    <t>Historic Home Rehabilitation, Historic Structure, Historic Preservation, and Historic Rehabilitation</t>
  </si>
  <si>
    <t>•Historic home rehabilitation: The credit is available for expenses associated with rehabilitating owner-occupied historic homes. It is administered by the Department of Economic and Community Development (DECD). The property must: (1) have 1 to 4 dwelling units, one of which is the principal residence of the owner, and (2) be listed individually on the National Register of Historic Places or located in a district listed in the National or State Register of Historic Places. In addition, DECD must certify that the property contributes to the district’s historic character. A minimum qualified rehabilitation expenditure of $15,000 must be incurred, the minimum amount for which a credit is available is $15,000, the credit limit per dwelling unit is $30,000, and the annual limit for all taxpayers is $3 million. The owner must occupy the home for at least five years following the completion of the rehabilitation work. Unused credits may be carried forward for four succeeding income years.
•Historic structure rehabilitation: The credit was available to individuals, limited liability companies, and nonprofit and for-profit corporations for expenses associated with rehabilitating historic commercial and industrial properties for residential use. It was administered by the Department of Economic and Community Development (DECD). The property must either be: (1) listed individually on the National Register of Historic Places or (2) located in a district listed in the National or State Register of Historic Places. In addition, DECD had to certify that the property contributes to the district’s historic character. The credit was up to 25% of the qualified rehabilitation costs, the limit per structure was $2.7 million and the annual limit for all taxpayers was $15 million. Owners can claim the credit themselves or transfer it to others. Credit holders may claim a credit in the tax year when the property receives its certificate of occupancy. For multiphase projects, credit holders may claim a part of the credit in proportion to that part of the project that received a certificate of occupancy. Unused credits may be carried forward for five succeeding income years.
•Historic preservation: The credit was available to individuals, limited liability companies, and nonprofit and for-profit corporations for expenses associated with rehabilitating historic property used for both residential and commercial purposes. 10 It was administered by the Department of Economic and Community Development (DECD). The property must be an historic commercial or industrial property: (1) individually listed on the national or state Register of Historic Places or (2) located in an historic district listed on the national or state Register of Historic Places. In addition, the Department of Economic and Community Development (DECD) must certify that the property contributes to the district's historic character. The credit was up to 25% of the qualified rehabilitation costs; the credit increases to 30% if a portion of the units are affordable11 to low- and moderate-income people. The total credit amount was up to $50 million per three-year cycle, beginning with FY 09 through FY 11. Unused credits may be carried forward for five succeeding income years.
•Historic rehabilitation: The credit, which effectively consolidates the provisions of the Historic Preservation and Historic Structure Rehabilitation tax credits effective January 1, 2014, is for qualified expenditures associated with the rehabilitation of a Certified Historic Structure for either: (1) residential use of five units or more, (2) mixed residential and nonresidential use, or (3) nonresidential use consistent with the historic character of such property or the district in which such property is located. The credit is up to 25% of the qualified rehabilitation costs; the credit increases to 30% if at least 20% of the units are rental units and qualify as affordable housing or at least 10% of the units are individual homeownership units and qualify as affordable housing. Unused credits may be carried forward for five succeeding income years or may be transferred in whole or in part no more than three times.</t>
  </si>
  <si>
    <t>Human Capital</t>
  </si>
  <si>
    <t>The credit is available for expenses related to: (1) job training; (2) work education; (3) donations or contributions to higher education institutions for the advancement of technology, including physical plant improvements; (4) day care facilities for children of employees; (5) childcare subsidies to employees; or (6) donations and contributions to the Individual Development Account Reserve Fund. The credit is 5% of qualified expenditures. Unused credits may be carried forward 5 years.</t>
  </si>
  <si>
    <t>Insurance Reinvestment</t>
  </si>
  <si>
    <t>The credit is available to investors in Insurance Reinvestment Funds. It is administered by the Department of Economic and Community Development (DECD). The credit is equal to the amount invested, which is taken over a 10 year period. Managers of eligible funds must have registered with DECD by 7/1/00 in order for their investors to claim this credit. The credit has recapture provisions under certain circumstances. Unused credits may be carried forward for five years. New eligibility certificates for insurance businesses which enable investors to claim a Corporation Business Tax credit cannot be issued after July 1, 2010. Any new eligibility certificates issued on or after July 1, 2010 qualify investors for the Second Insurance Reinvestment Fund tax credit applicable against the Insurance Premiums Tax.</t>
  </si>
  <si>
    <t>Machinery and Equipment</t>
  </si>
  <si>
    <t>The credit is available to small and medium-sized companies for the incremental increase in capital goods expenditures over the previous year. The credit is 10% for companies with 250 or fewer full-time, permanent employees and 5% for companies with 251 to 800 employees. There are no carryback or carryforward provisions.</t>
  </si>
  <si>
    <t>Neighborhood Assistance</t>
  </si>
  <si>
    <t>A 60% credit of the amount contributed is available for expenditures on activities approved by municipalities such as: (1) neighborhood assistance; (2) job training or education; (3) community services; (4) crime prevention; (5) cash donations used for purchase of open space; or (6) community-based alcoholism prevention or treatment programs. A 100% credit is available for energy conservation or construction or rehabilitation of dwelling units for families of low and moderate income. The program is administered by the Department of Revenue Services. The minimum amount for which a credit is granted is $250, the annual credit limit per business firm is $150,000, a non-profit organization is limited to receiving $150,000 in contributions in the aggregate, and the annual limit for all firms is $5 million. Unused credits may be carried back for two years.</t>
  </si>
  <si>
    <t>Research &amp; Development</t>
  </si>
  <si>
    <t>The credit is available for research and development expenditures incurred in this state. The credit increases from (1) 1% of expenditures up to $50 million to (2) 6% of expenditures over $200 million. Qualified small businesses with a gross income of less than $100 million are eligible for the 6% credit. The credit cannot be claimed if the credit under 12-217j is claimed. The credit for expenditures over $200 million is reduced if there are work force reductions and the credit for certain aerospace companies is subject to employment restrictions. Unused credits may be carried forward until fully taken.</t>
  </si>
  <si>
    <t>Research &amp; Experimentation</t>
  </si>
  <si>
    <t>The credit is available for incremental increases in research and experimental expenditures incurred in this state. The credit is 20% of the amount by which expenditures in the current income year exceed expenditures in the preceding year. Unused credits may be carried forward for 15 years.</t>
  </si>
  <si>
    <t>Sale of Certain Credits</t>
  </si>
  <si>
    <t>Companies with less than $70 million in gross sales that cannot take research and development credits under CGS Secs. 12-217j and 217n because they do not have a tax liability, are permitted to sell unused credits back to the state at 65% of their value. The maximum annual refund is $1.5 million per company.</t>
  </si>
  <si>
    <t>Urban and Industrial Reinvestment Credit</t>
  </si>
  <si>
    <t>The credit is available for investments associated with urban site remediation. It is administered by the Department of Economic and Community Development (DECD) and is allowable over 10 years. The credit amount may not exceed the amount of state revenue that DECD determines will be generated by the site. There is a recapture provision if the actual amount of revenue generated is less than the total sum of tax credits claimed. The credit is limited to $100 million per project and $800 million for all projects. Unused credits may be carried forward for five years or assigned to another taxpayer. The credit may be used against corporation tax, insurance premium tax, public service companies tax and other miscellaneous tax liabilities.</t>
  </si>
  <si>
    <t>Insurance Premiums Tax</t>
  </si>
  <si>
    <t>Ocean Marine Insurance</t>
  </si>
  <si>
    <t>The exemption is for premiums from the sale of ocean and inland marine insurance of nonresident and foreign companies.</t>
  </si>
  <si>
    <t>State Employee Health Plans</t>
  </si>
  <si>
    <t>The exemption is for premiums for state employee health plans.</t>
  </si>
  <si>
    <t>Insurance Department Assessment Credit</t>
  </si>
  <si>
    <t>The credit is for 80% of the Connecticut Insurance Department assessment paid by local domestic insurance companies whose assets do not exceed $95.0 million during the calendar year.</t>
  </si>
  <si>
    <t>A 60% (100% in the case of energy conservation programs) credit of the amount contributed is available for expenditures on activities approved by municipalities such as: (1) neighborhood assistance; (2) job training or education; (3) community services; (4) crime prevention; (5) cash donations used for purchase of open space; or (6) community-based alcoholism prevention or treatment programs. A 100% credit is available for energy conservation or construction or rehabilitation of dwelling units for families of low and moderate income. The program is administered by the Department of Revenue Services. The minimum amount for which a credit is granted is $250, the annual credit limit per business firm is $150,000, a non-profit organization is limited to receiving $150,000 in contributions in the aggregate, and the annual limit for all firms is $5 million. Unused credits may be carried back for two years.</t>
  </si>
  <si>
    <t>The credit is available for 100% of the local property tax paid on electronic data processing equipment, including computers, printers, peripheral computer equipment, bundled software and any other related equipment reported as Code 20 on the Personal Property Declaration. The credit is only for property tax liability and excludes any interest or penalties that the taxpayer may also be required to pay. It may only be taken when filing a final return and may not be used to calculate estimated payments. Unused credits may be carried forward for five succeeding years.</t>
  </si>
  <si>
    <t>OFA Tax Expenditure Report: Exemptions</t>
  </si>
  <si>
    <t>Name for Model</t>
  </si>
  <si>
    <t>Cost (in millions)</t>
  </si>
  <si>
    <t>This sheet contains a list of all the tax expenditures included in the Revenue Tool. Figures were taken from the OFA Tax Expenditure Report.</t>
  </si>
  <si>
    <t>This sheet is used by Tableau to calculate new revenue calculations, provide the current revenue estimates, and display the grand total of the estimates. Details on how to update can be found below.</t>
  </si>
  <si>
    <t>To update, copy and paste into the 'Tableau - Rates' sheet in three cells: when Name is 'Sales Tax' and Type is 'Projected Revenue', replace value in column 'Value' and column 'Projected Revenue'; when Name is 'Sales Tax' and Type is 'Change in Revenue', replace value in column 'Projected Revenue'</t>
  </si>
  <si>
    <t>To update, copy and paste into the 'Tableau - Rates' sheet in three cells: when Name is 'Sales Tax - Luxury' and Type is 'Projected Revenue', replace value in column 'Value' and column 'Projected Revenue'; when Name is 'Sales Tax - Luxury' and Type is 'Change in Revenue', replace value in column 'Projected Revenue'</t>
  </si>
  <si>
    <t>To update, copy and paste into the 'Tableau - Rates' sheet in one cell: when Name is 'Grand Total' and Tax Category is 'Sales and Use*', replace value in column 'Value'</t>
  </si>
  <si>
    <t>To update, copy and paste into the 'Tableau - Rates' sheet in three cells: when Name is 'Cigarette Tax' and Type is 'Projected Revenue', replace value in column 'Value' and column 'Projected Revenue'; when Name is 'Cigarette Tax' and Type is 'Change in Revenue', replace value in column 'Projected Revenue'</t>
  </si>
  <si>
    <t>To update, copy and paste into the 'Tableau - Rates' sheet in one cell: when Name is 'Tobacco Products Tax', replace value in column 'Projected Revenue'</t>
  </si>
  <si>
    <t>To update, copy and paste into the 'Tableau - Rates' sheet in three cells: when Name is 'Gas Tax - per gallon tax' and Type is 'Projected Revenue', replace value in column 'Value' and column 'Projected Revenue'; when Name is 'Gas Tax - per gallon tax' and Type is 'Change in Revenue', replace value in column 'Projected Revenue'</t>
  </si>
  <si>
    <t>To update, copy and paste into the 'Tableau - Rates' sheet in three cells: when Name is 'Special Fuels Tax - per gallon tax' and Type is 'Projected Revenue', replace value in column 'Value' and column 'Projected Revenue'; when Name is 'Special Fuels Tax - per gallon tax' and Type is 'Change in Revenue', replace value in column 'Projected Revenue'</t>
  </si>
  <si>
    <t>To update the Tableau Model, values for rates must be copied and pasted into the 'Tableau - Rates' sheet in three different cells each: when Name is 'PIT - [rate]' and Type is 'Projected Revenue', replace value in column 'Value' and column 'Projected Revenue' with the appropriate value in the 'Model Numbers' row above; when Name is 'Pit - [rate]' and Type is 'Change in Revenue', replace value in column 'Projected Revenue'. The recapture total must be copied and pasted into the 'Tableau - Rates' sheet once, when Name is 'PIT - Recapture' in the 'Projected Revenue' column.</t>
  </si>
  <si>
    <t>Sales and Use tax is divided into two parts for the purposes of this model: general sales tax and luxury sales tax. Data for sales tax revenue from other tax rates is not detailed enough to include user rate inputs in the revenue tool. A portion of General Fund sales tax revenue received from the general sales tax rate is diverted into the Special Transportation Fund. Additionally, sales tax revenue from the casual sales of vehicles goes directly into the Special Transportation Fund. See 'Other Tax Rates' sheet for calculations.</t>
  </si>
  <si>
    <t>The cigarette tax is divided into two parts: cigarette tax and tobacco tax. Cigarette tax makes up the majority of this revenue. See 'Other Tax Rates' sheet for calculations.</t>
  </si>
  <si>
    <t>Motor fuels tax is composed of two parts: gas tax and special fuels tax. Although there are many types of special fuels with different tax rates, the majority of revenue comes from the diesel fuel tax rate. Disaggregated revenue data based upon the type of special fuel is not available. See 'Other Tax Rates' sheet for calculations.</t>
  </si>
  <si>
    <t>This column was added for model calculations. If sheet is replaced with more up-to-date version, copy this column and insert into replacement sheet.</t>
  </si>
  <si>
    <t>The personal income tax is the largest single source of revenue in the General Fund. Total revenue is disaggregated into revenue by tax rate. The calculations can be found in the PIT, PIT - NRPY, and PIT - Total worksheets. To update the calculation, insert new values into the console worksheet (Tables 1-6). Changes can include new bracket ranges, new tax rates, and adjustments to the recapture provisions/personal exemption/3% phase-out. Insert the most recent PIT consensus revenue estimate into Table 2. Replace the current DRS Tax Tables with the most recent DRS tax tables worksheets. Ensure that the new DRS worksheets are named exactly the same as theoutdated sheets prior to deleting. Insert an additional column to the far left with the upper end of the income range of the row. Calculations in worksheets PIT (Tables 7-10) and PIT - NRPY (Tables 11-14) will update automatically. To update Tableau Model, see 'PIT - Total' sheet.</t>
  </si>
  <si>
    <t>Description of workbook, sources and citations, and location of information.</t>
  </si>
  <si>
    <t>Outputs from these sheets are used in the Tableau Inputs worksheets.</t>
  </si>
  <si>
    <t>Revenue Estimates</t>
  </si>
  <si>
    <t>New Revenue</t>
  </si>
  <si>
    <t>Motor Vehicle Receipts</t>
  </si>
  <si>
    <t>Licenses, Permits, and Fees</t>
  </si>
  <si>
    <t>The data in these worksheets are used in the Tableau Revenue Tool and pulled directly into the Tableau workbook.</t>
  </si>
  <si>
    <t>These tables are taken directly from DRS and contain individual income tax data. These data are used in the Base Revenue Calc. sheets.</t>
  </si>
  <si>
    <t>DRS Individual Income Tax Data</t>
  </si>
  <si>
    <t>This sheet contains data that feeds directly into Tableau. The data here is taken directly from budgeted revenue estimates. It is used for the "Comparison" dashboard. The "Other" category is the sum all other non-listed sources of tax revenue. The "New Tax" category is a placeholder and should be equal to zero for both the GF and STF.</t>
  </si>
  <si>
    <t>Aviation Fuel - Sales and Use Tax</t>
  </si>
  <si>
    <t>Pass-Through Entity Tax</t>
  </si>
  <si>
    <t>A pass-through entity is now subject to tax on its own income (the “Pass-Through Entity Tax”). To account for the fact that the pass-through entity must pay tax on its own income, Public Act 18-49 provides a tax credit that partners may claim on their Connecticut income tax returns and corporation business tax returns. The credit is intended to ensure the pass-through entity’s income is not taxed twice.</t>
  </si>
  <si>
    <t>Install all-electronic toll systems and employ congestion pricing on I-95, I-84, I-91, I-395, I-691, I-291, and Routes 2, 8, 9, and 15</t>
  </si>
  <si>
    <r>
      <t xml:space="preserve">State of Connecticut, Department of Transportation. (2018). </t>
    </r>
    <r>
      <rPr>
        <i/>
        <sz val="8"/>
        <color theme="1"/>
        <rFont val="Arial"/>
        <family val="2"/>
      </rPr>
      <t>Connecticut Tolling Options Evaluation Study</t>
    </r>
    <r>
      <rPr>
        <sz val="8"/>
        <color theme="1"/>
        <rFont val="Arial"/>
        <family val="2"/>
      </rPr>
      <t>. Hartford, CT: Author. Retrieved from https://www.ct.gov/dot/lib/dot/documents/dcommunications/press_release/ctdot_tolling_report_11142018.pdf.</t>
    </r>
  </si>
  <si>
    <t>Sugary Drink Tax</t>
  </si>
  <si>
    <t>Establish a 1.5¢ per ounce tax on sugar-sweetened beverages.</t>
  </si>
  <si>
    <t>Capital Gains Surtax</t>
  </si>
  <si>
    <t>Delivery Tax</t>
  </si>
  <si>
    <t>Impose a Delivery Tax (per package basis) of 50 cents per package.</t>
  </si>
  <si>
    <t>Current OFA/OPM Personal Income Tax + Pass-Through Entity Tax Consensus Revenue Estimate (Source 1)</t>
  </si>
  <si>
    <t>Note: This credit has been altered in the FY 2020 budget. Credit is available for research and development expenditures incurred in Connecticut. The credit increases from 1% of expenditures up to $50 million to 6% of expenditures over $200 million. Qualified small businesses with a gross income of less than $100 million are eligible for the 6% credit. The credit for expenditures over $200 million is reduced if there are work force reductions, and the credit for certain aerospace companies is subject to employment restrictions. Unused credits may be carried forward until fully taken.</t>
  </si>
  <si>
    <t>Note: This credit has been altered in the FY 2020 budget. Administered by Connecticut’s Department of Economic and Community Development (DECD), this credit is available for investments associated with urban site remediation and is allowable over 10 years. The credit amount may not exceed the amount of state revenue DECD determines will be generated by the site. There is a recapture provision if the actual amount of revenue generated is less than the total sum of tax credits claimed. The credit is limited to $100 million per project and $800 million for all projects. Unused credits may be carried forward for five years or assigned to another taxpayer. The credit may be used against Connecticut’s Corporation Business Tax, Insurance Premiums Tax, Public Service Companies Tax, and other miscellaneous tax liabilities.</t>
  </si>
  <si>
    <t>Establish a surtax of 2% on capital gains income for individuals who fall into the top marginal income tax bracket.</t>
  </si>
  <si>
    <r>
      <t xml:space="preserve">Connecticut General Assembly, Office of Fiscal Analysis. (2019). </t>
    </r>
    <r>
      <rPr>
        <i/>
        <sz val="8"/>
        <color theme="1"/>
        <rFont val="Arial"/>
        <family val="2"/>
      </rPr>
      <t>DRAFT</t>
    </r>
    <r>
      <rPr>
        <sz val="8"/>
        <color theme="1"/>
        <rFont val="Arial"/>
        <family val="2"/>
      </rPr>
      <t xml:space="preserve"> </t>
    </r>
    <r>
      <rPr>
        <i/>
        <sz val="8"/>
        <color theme="1"/>
        <rFont val="Arial"/>
        <family val="2"/>
      </rPr>
      <t>Comparison of Plan Details as of 4/30</t>
    </r>
    <r>
      <rPr>
        <sz val="8"/>
        <color theme="1"/>
        <rFont val="Arial"/>
        <family val="2"/>
      </rPr>
      <t>. Hartford, CT: Author. Retrieved from https://media.wtnh.com/nxs-wtnhtv-media-us-east-1/document_dev/2019/05/01/FRBPrelimPackage_1556747832852_85485688_ver1.0.pdf.</t>
    </r>
  </si>
  <si>
    <t>Sales of and the storage, use or other consumption of commercial trucks, truck tractors, tractors and semi-trailers, and vehicles used in combination therewith, which (i) have a gross vehicle weight rating in excess of twenty-six thousand pounds or (ii) are operated actively and exclusively during the period commencing upon its purchase and ending one year after thedate of purchase for the carriage of interstate freight pursuant to a certificate or permit issued by the Interstate Commerce Commission or its successor agency.</t>
  </si>
  <si>
    <t>Commercial trucks, truck tractors, tractors and semi-trailers and vehicles used in combination therewith</t>
  </si>
  <si>
    <t>Mfg Facilities / Service Facilities / Enterprise Zones</t>
  </si>
  <si>
    <t>•Manufacturing facilities: The credit ranges from 25% to 50% of the amount of tax that is allocable to a facility located in an Enterprise Zone or a municipality with an Entertainment District depending on whether the corporation is occupying a new or renovated facility or certain employment criteria is met. To qualify, the corporation must obtain certification from DECD. Unused credits may be carried forward 10 years.
•Service facilities: The credit is based on certain employment criteria. It is available for between 15% and 50% of the amount of tax that is allocable to a service facility located in an Enterprise Zone or a municipality with an Entertainment District. The credit is administered by the Department of Economic and Community Development (DECD). To qualify for it, the corporation must obtain certification from DECD that it is occupying a new or renovated facility located within an Enterprise Zone or Entertainment District. Unused credits may be carried forward 10 years.
•Enterprise Zones: The credit is available to qualified corporations for 100% of the corporation’s tax liability for the first three taxable years and 50% of its liability for the next seven years. It is administered by the Department of Economic and Community Development. There are no carryback or carryforward provisions.</t>
  </si>
  <si>
    <t>The angel investor tax credit is available to taxpayers who invest in start-up, technology-based businesses in Connecticut.  Each credit equals 25% of the cash investment, up to maximum of $500,000 in total credits for any investor.</t>
  </si>
  <si>
    <t>Angel investor tax credit is available to taxpayers who invest in start-up, technology-based businesses in Connecticut. Each credit equals 25% of the cash investment, up to a maximum of $500,000 in total credits for any investor.</t>
  </si>
  <si>
    <t>Mfg Facilities / Service Facilities / Enterprise Zones - Corporation Tax</t>
  </si>
  <si>
    <t>Manufacturing facilities: Credit ranges from 25% to 50% of the amount of tax allocable to a facility located in an Enterprise Zone, or a municipality with an Entertainment District, depending on whether the corporation is occupying a new or renovated facility or certain employment criteria is met. Unused credits may be carried forward 10 years.
Service facilities: Credit is based on certain employment criteria. It is available for between 15% and 50% of the amount of tax allocable to a service facility located in an Enterprise Zone, or a municipality with an Entertainment District. Unused credits may be carried forward 10 years.
Enterprise Zones: Credit is available to qualified corporations for 100% of the corporation’s tax liability for the first three taxable years and 50% of its liability for the next seven years. There are no carryback or carryforward provisions.</t>
  </si>
  <si>
    <t>Mfg Facilities / Service Facilities / Enterprise Zones - Corporation Taxq</t>
  </si>
  <si>
    <t>Commercial trucks, truck tractors, tractors and semi-trailers and vehicles used in combination therewith - Sales and Use Tax</t>
  </si>
  <si>
    <t>Commercial trucks, truck tractors, tractors and semi-trailers and vehicles used in combination therewith - Sales and Use Taxq</t>
  </si>
  <si>
    <t>Tolls - All Cars</t>
  </si>
  <si>
    <t>Tolls - Truck Only</t>
  </si>
  <si>
    <t>Install all-electronic toll systems and collect tolls from large commercial trucks on I-95, I-84, I-91, I-395, I-684, and Route 8</t>
  </si>
  <si>
    <t>Implement Tolls - All Cars</t>
  </si>
  <si>
    <t>Implement Tolls - Truck Only</t>
  </si>
  <si>
    <r>
      <t xml:space="preserve">McCaw, M. (2020, January 31). </t>
    </r>
    <r>
      <rPr>
        <i/>
        <sz val="8"/>
        <color theme="1"/>
        <rFont val="Arial"/>
        <family val="2"/>
      </rPr>
      <t>Testimony Supporting An Act Concerning the Sustainability of Connecticut’s Transportation Infrastructure</t>
    </r>
    <r>
      <rPr>
        <sz val="8"/>
        <color theme="1"/>
        <rFont val="Arial"/>
        <family val="2"/>
      </rPr>
      <t>. Hartford, CT: Connecticut General Assembly, Transportation Committee. Retrieved from https://www.wtnh.com/wp-content/uploads/sites/100/2020/02/OPM-Secretary-McCaw-Transportation-testimony-Jan-31-2020.pdf.</t>
    </r>
  </si>
  <si>
    <t>Newspapers and Magazines</t>
  </si>
  <si>
    <t>Sales of magazines, including publications which only contain puzzles, by subscription; sales of newspapers.</t>
  </si>
  <si>
    <t>Efficiency/Clarification</t>
  </si>
  <si>
    <t>Newspapers and Magazines - Sales and Use Tax</t>
  </si>
  <si>
    <t>Newspapers and Magazines - Sales and Use Taxq</t>
  </si>
  <si>
    <t>Exempt from the Sales and Use Tax: Sales of magazines, including publications which only contain puzzles, by subscription; sales of newspapers.</t>
  </si>
  <si>
    <t>Sales Tax - Meals and Drinks Rate</t>
  </si>
  <si>
    <t>Sales Tax - Meals and Drinks</t>
  </si>
  <si>
    <t>Connecticut levies an additional Sales and Use Tax on certain items, including: the  sales of meals sold by an eating establishment, caterer or grocery store, and spirituous, malt or vinous liquors, soft drinks, sodas or beverages such as are ordinarinly dispensed at bars and soda fountains, or in connection therewith.</t>
  </si>
  <si>
    <r>
      <t xml:space="preserve">McCaw, M., &amp; Ayers, N. (2022). </t>
    </r>
    <r>
      <rPr>
        <i/>
        <sz val="8"/>
        <color theme="1"/>
        <rFont val="Arial"/>
        <family val="2"/>
      </rPr>
      <t>Consensus Revenue - January 18, 2022</t>
    </r>
    <r>
      <rPr>
        <sz val="8"/>
        <color theme="1"/>
        <rFont val="Arial"/>
        <family val="2"/>
      </rPr>
      <t>. Hartford, CT: State of Connecticut, Office of Policy and Management. Retrieved from https://portal.ct.gov/-/media/OPM/Bud-Other-Projects/Reports/Consensus_Revenue/FINAL_CONSENSUS_JAN18_2022.pdf.</t>
    </r>
  </si>
  <si>
    <r>
      <t xml:space="preserve">State of Connecticut, Department of Revenue Services. (2022). </t>
    </r>
    <r>
      <rPr>
        <i/>
        <sz val="8"/>
        <color theme="1"/>
        <rFont val="Arial"/>
        <family val="2"/>
      </rPr>
      <t>Fiscal Year 2020-2021 Annual Report</t>
    </r>
    <r>
      <rPr>
        <sz val="8"/>
        <color theme="1"/>
        <rFont val="Arial"/>
        <family val="2"/>
      </rPr>
      <t>. Hartford, CT: Author. Retrieved from https://portal.ct.gov/-/media/DRS/Research/annualreport/DRS-FY21-Annual-Report.pdf.</t>
    </r>
  </si>
  <si>
    <t>State of Connecticut, Department of Revenue Services. (2022). 2020 Individual Income Tax Data Report. Retrieved from https://portal.ct.gov/DRS/DRS-Reports/Income-Tax-Reports/2020-Individual-Income-Tax-Report.</t>
  </si>
  <si>
    <t>McCaw, M., &amp; Ayers, N. (2022). Consensus Revenue - January 18, 2022. Hartford, CT: State of Connecticut, Office of Policy and Management. Retrieved from https://portal.ct.gov/-/media/OPM/Bud-Other-Projects/Reports/Consensus_Revenue/FINAL_CONSENSUS_JAN18_2022.pdf.</t>
  </si>
  <si>
    <t>Tax Year 2020</t>
  </si>
  <si>
    <t>Agriculture Production</t>
  </si>
  <si>
    <t>Vessels, Motors for Vessels, Trailers for Transport of Vessels, and Marine Dyed Diesel Fuel</t>
  </si>
  <si>
    <t>Film Production Tax Credit Expansion to Sales</t>
  </si>
  <si>
    <t>Medicare, Medicaid, HUSKY and General Assistance</t>
  </si>
  <si>
    <t>Vessels, motors for vessels, trailers used for transporting a vessel, and marine dyed diesel fuel are taxed at 2.99%.</t>
  </si>
  <si>
    <t>Redundancy/Conformity</t>
  </si>
  <si>
    <t>The exemption is for Medicare patients, Medicaid contracts, contracts to serve children enrolled in the HUSKY program, and contracts to serve clients on General Assistance (welfare).</t>
  </si>
  <si>
    <t>Sales of and the storage, use or other consumption of tangible personal property by a farmer engaged in agricultural production as a trade or business and to whom the Department of Revenue Services has issued an agricultural sales tax exemption permit.</t>
  </si>
  <si>
    <t>Agriculture Production - Sales and Use Tax</t>
  </si>
  <si>
    <t>Agriculture Production - Sales and Use Taxq</t>
  </si>
  <si>
    <t>Vessels, Motors for Vessels, Trailers for Transport of Vessels, and Marine Dyed Diesel Fuel - Sales and Use Tax</t>
  </si>
  <si>
    <t>Film Production Tax Credit Expansion to Sales - Sales and Use Tax</t>
  </si>
  <si>
    <t>Vessels, Motors for Vessels, Trailers for Transport of Vessels, and Marine Dyed Diesel Fuel - Sales and Use Taxq</t>
  </si>
  <si>
    <t>Film Production Tax Credit Expansion to Sales - Sales and Use Taxq</t>
  </si>
  <si>
    <t>Medicare, Medicaid, HUSKY and General Assistance - Insurance Premiums Tax</t>
  </si>
  <si>
    <t>Medicare, Medicaid, HUSKY and General Assistance - Insurance Premiums Taxq</t>
  </si>
  <si>
    <t>Exempt from the Sales and Use Tax: Sales of and the storage, use or other consumption of tangible personal property by a farmer engaged in agricultural production as a trade or business and to whom the Department of Revenue Services has issued an agricultural sales tax exemption permit.</t>
  </si>
  <si>
    <t>Exemption is for Medicare patients, Medicaid contracts, contracts to serve children enrolled in the HUSKY program, and contracts to serve clients on General Assistance (welfare).</t>
  </si>
  <si>
    <r>
      <t xml:space="preserve">Connecticut General Assembly, Office of Fiscal Analysis. (2022). </t>
    </r>
    <r>
      <rPr>
        <i/>
        <sz val="8"/>
        <color theme="1"/>
        <rFont val="Arial"/>
        <family val="2"/>
      </rPr>
      <t>Connecticut Tax Expenditure Report, February 2022</t>
    </r>
    <r>
      <rPr>
        <sz val="8"/>
        <color theme="1"/>
        <rFont val="Arial"/>
        <family val="2"/>
      </rPr>
      <t>. Hartford, CT: Author. Retrieved from https://www.cga.ct.gov/ofa/Documents/year/TER/2022TER-20220201_Tax%20Expenditure%20Report%20FY%2022.pdf.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</si>
</sst>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0.0"/>
    <numFmt numFmtId="165" formatCode="0.0%"/>
    <numFmt numFmtId="166" formatCode="_(* #,##0_);_(* \(#,##0\);_(* &quot;-&quot;??_);_(@_)"/>
    <numFmt numFmtId="167" formatCode="#,##0.0000000000"/>
    <numFmt numFmtId="168" formatCode="&quot;$&quot;#,##0"/>
    <numFmt numFmtId="169" formatCode="0.000"/>
    <numFmt numFmtId="170" formatCode="&quot;$&quot;#,##0.00"/>
    <numFmt numFmtId="171" formatCode="_(&quot;$&quot;* #,##0_);_(&quot;$&quot;* \(#,##0\);_(&quot;$&quot;* &quot;-&quot;??_);_(@_)"/>
  </numFmts>
  <fonts count="32" x14ac:knownFonts="1">
    <font>
      <sz val="11"/>
      <color theme="1"/>
      <name val="Calibri"/>
      <family val="2"/>
      <scheme val="minor"/>
    </font>
    <font>
      <sz val="10"/>
      <name val="Arial"/>
      <family val="2"/>
    </font>
    <font>
      <sz val="10"/>
      <name val="Tahoma"/>
      <family val="2"/>
    </font>
    <font>
      <sz val="10"/>
      <color indexed="10"/>
      <name val="tahoma"/>
      <family val="2"/>
    </font>
    <font>
      <b/>
      <sz val="9"/>
      <name val="tahoma"/>
      <family val="2"/>
    </font>
    <font>
      <b/>
      <sz val="10"/>
      <name val="tahoma"/>
      <family val="2"/>
    </font>
    <font>
      <sz val="10"/>
      <color rgb="FFFF0000"/>
      <name val="tahoma"/>
      <family val="2"/>
    </font>
    <font>
      <b/>
      <sz val="8"/>
      <name val="tahoma"/>
      <family val="2"/>
    </font>
    <font>
      <sz val="11"/>
      <color theme="1"/>
      <name val="Calibri"/>
      <family val="2"/>
      <scheme val="minor"/>
    </font>
    <font>
      <b/>
      <sz val="8"/>
      <name val="Arial"/>
      <family val="2"/>
    </font>
    <font>
      <b/>
      <sz val="10"/>
      <color indexed="10"/>
      <name val="tahoma"/>
      <family val="2"/>
    </font>
    <font>
      <sz val="8"/>
      <color theme="1"/>
      <name val="Arial"/>
      <family val="2"/>
    </font>
    <font>
      <sz val="10"/>
      <color theme="1"/>
      <name val="Calibri"/>
      <family val="2"/>
      <scheme val="minor"/>
    </font>
    <font>
      <b/>
      <sz val="13"/>
      <color theme="3"/>
      <name val="Calibri"/>
      <family val="2"/>
      <scheme val="minor"/>
    </font>
    <font>
      <b/>
      <sz val="11"/>
      <color theme="1"/>
      <name val="Calibri"/>
      <family val="2"/>
      <scheme val="minor"/>
    </font>
    <font>
      <sz val="8"/>
      <color theme="1"/>
      <name val="Calibri"/>
      <family val="2"/>
      <scheme val="minor"/>
    </font>
    <font>
      <b/>
      <sz val="11"/>
      <color theme="3"/>
      <name val="Calibri"/>
      <family val="2"/>
      <scheme val="minor"/>
    </font>
    <font>
      <sz val="9"/>
      <color theme="1"/>
      <name val="Calibri"/>
      <family val="2"/>
      <scheme val="minor"/>
    </font>
    <font>
      <b/>
      <sz val="12"/>
      <color theme="3"/>
      <name val="Calibri"/>
      <family val="2"/>
      <scheme val="minor"/>
    </font>
    <font>
      <b/>
      <u/>
      <sz val="11"/>
      <color theme="1"/>
      <name val="Calibri"/>
      <family val="2"/>
      <scheme val="minor"/>
    </font>
    <font>
      <u/>
      <sz val="12"/>
      <color theme="1"/>
      <name val="Arial"/>
      <family val="2"/>
    </font>
    <font>
      <sz val="11"/>
      <color theme="1"/>
      <name val="Arial"/>
      <family val="2"/>
    </font>
    <font>
      <sz val="10"/>
      <color theme="1"/>
      <name val="Arial"/>
      <family val="2"/>
    </font>
    <font>
      <b/>
      <sz val="15"/>
      <color theme="3"/>
      <name val="Calibri"/>
      <family val="2"/>
      <scheme val="minor"/>
    </font>
    <font>
      <b/>
      <sz val="16"/>
      <color theme="3" tint="-0.499984740745262"/>
      <name val="Calibri"/>
      <family val="2"/>
      <scheme val="minor"/>
    </font>
    <font>
      <sz val="10"/>
      <color theme="0"/>
      <name val="Arial"/>
      <family val="2"/>
    </font>
    <font>
      <b/>
      <sz val="10"/>
      <color theme="1"/>
      <name val="Arial"/>
      <family val="2"/>
    </font>
    <font>
      <i/>
      <sz val="8"/>
      <color theme="1"/>
      <name val="Arial"/>
      <family val="2"/>
    </font>
    <font>
      <b/>
      <u/>
      <sz val="10"/>
      <color theme="1"/>
      <name val="Arial"/>
      <family val="2"/>
    </font>
    <font>
      <b/>
      <sz val="12"/>
      <color theme="1"/>
      <name val="Arial"/>
      <family val="2"/>
    </font>
    <font>
      <b/>
      <u/>
      <sz val="14"/>
      <color theme="3"/>
      <name val="Calibri"/>
      <family val="2"/>
      <scheme val="minor"/>
    </font>
    <font>
      <b/>
      <u/>
      <sz val="12"/>
      <color theme="1"/>
      <name val="Calibri"/>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s>
  <cellStyleXfs count="10">
    <xf numFmtId="0" fontId="0" fillId="0" borderId="0"/>
    <xf numFmtId="0" fontId="1"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13" fillId="0" borderId="10" applyNumberFormat="0" applyFill="0" applyAlignment="0" applyProtection="0"/>
    <xf numFmtId="0" fontId="16" fillId="0" borderId="0" applyNumberFormat="0" applyFill="0" applyBorder="0" applyAlignment="0" applyProtection="0"/>
    <xf numFmtId="0" fontId="14" fillId="0" borderId="12" applyNumberFormat="0" applyFill="0" applyAlignment="0" applyProtection="0"/>
    <xf numFmtId="0" fontId="23" fillId="0" borderId="17" applyNumberFormat="0" applyFill="0" applyAlignment="0" applyProtection="0"/>
    <xf numFmtId="44" fontId="8" fillId="0" borderId="0" applyFont="0" applyFill="0" applyBorder="0" applyAlignment="0" applyProtection="0"/>
  </cellStyleXfs>
  <cellXfs count="140">
    <xf numFmtId="0" fontId="0" fillId="0" borderId="0" xfId="0"/>
    <xf numFmtId="3" fontId="2" fillId="0" borderId="0" xfId="1" applyNumberFormat="1" applyFont="1" applyFill="1" applyBorder="1" applyAlignment="1" applyProtection="1"/>
    <xf numFmtId="3" fontId="4" fillId="0" borderId="0" xfId="1" applyNumberFormat="1" applyFont="1" applyFill="1" applyBorder="1" applyAlignment="1" applyProtection="1">
      <alignment horizontal="center"/>
    </xf>
    <xf numFmtId="0" fontId="4" fillId="0" borderId="0" xfId="2" applyNumberFormat="1" applyFont="1" applyFill="1" applyBorder="1" applyAlignment="1" applyProtection="1">
      <alignment horizontal="center"/>
    </xf>
    <xf numFmtId="3" fontId="5" fillId="0" borderId="0" xfId="1" applyNumberFormat="1" applyFont="1" applyFill="1" applyBorder="1" applyAlignment="1" applyProtection="1"/>
    <xf numFmtId="3" fontId="0" fillId="0" borderId="0" xfId="0" applyNumberFormat="1"/>
    <xf numFmtId="10" fontId="0" fillId="2" borderId="2" xfId="3" applyNumberFormat="1" applyFont="1" applyFill="1" applyBorder="1"/>
    <xf numFmtId="0" fontId="0" fillId="0" borderId="0" xfId="0" applyBorder="1"/>
    <xf numFmtId="3" fontId="0" fillId="0" borderId="0" xfId="0" applyNumberFormat="1" applyBorder="1"/>
    <xf numFmtId="0" fontId="0" fillId="0" borderId="3" xfId="0" applyBorder="1"/>
    <xf numFmtId="3" fontId="0" fillId="0" borderId="3" xfId="0" applyNumberFormat="1" applyBorder="1"/>
    <xf numFmtId="10" fontId="0" fillId="2" borderId="4" xfId="3" applyNumberFormat="1" applyFont="1" applyFill="1" applyBorder="1"/>
    <xf numFmtId="0" fontId="0" fillId="0" borderId="5" xfId="0" applyBorder="1"/>
    <xf numFmtId="0" fontId="0" fillId="0" borderId="6" xfId="0" applyBorder="1"/>
    <xf numFmtId="3" fontId="0" fillId="0" borderId="0" xfId="0" applyNumberFormat="1" applyFill="1" applyBorder="1"/>
    <xf numFmtId="0" fontId="0" fillId="0" borderId="0" xfId="0" applyAlignment="1"/>
    <xf numFmtId="165" fontId="0" fillId="0" borderId="0" xfId="3" applyNumberFormat="1" applyFont="1"/>
    <xf numFmtId="3" fontId="0" fillId="0" borderId="7" xfId="0" applyNumberFormat="1" applyBorder="1"/>
    <xf numFmtId="3" fontId="0" fillId="0" borderId="8" xfId="0" applyNumberFormat="1" applyBorder="1"/>
    <xf numFmtId="10" fontId="0" fillId="0" borderId="7" xfId="3" applyNumberFormat="1" applyFont="1" applyBorder="1"/>
    <xf numFmtId="10" fontId="0" fillId="0" borderId="8" xfId="3" applyNumberFormat="1" applyFont="1" applyBorder="1"/>
    <xf numFmtId="10" fontId="0" fillId="0" borderId="0" xfId="0" applyNumberFormat="1"/>
    <xf numFmtId="10" fontId="0" fillId="0" borderId="0" xfId="0" applyNumberFormat="1" applyBorder="1"/>
    <xf numFmtId="3" fontId="0" fillId="0" borderId="9" xfId="0" applyNumberFormat="1" applyBorder="1"/>
    <xf numFmtId="166" fontId="0" fillId="0" borderId="0" xfId="4" applyNumberFormat="1" applyFont="1"/>
    <xf numFmtId="167" fontId="0" fillId="0" borderId="0" xfId="0" applyNumberFormat="1"/>
    <xf numFmtId="0" fontId="11" fillId="0" borderId="0" xfId="0" applyFont="1" applyAlignment="1">
      <alignment vertical="center"/>
    </xf>
    <xf numFmtId="0" fontId="14" fillId="0" borderId="11" xfId="0" applyFont="1" applyBorder="1" applyAlignment="1">
      <alignment horizontal="center" vertical="center" wrapText="1"/>
    </xf>
    <xf numFmtId="10" fontId="14" fillId="0" borderId="11" xfId="3" applyNumberFormat="1" applyFont="1" applyBorder="1" applyAlignment="1">
      <alignment horizontal="center" vertical="center" wrapText="1"/>
    </xf>
    <xf numFmtId="0" fontId="14" fillId="0" borderId="0" xfId="0" applyFont="1" applyBorder="1" applyAlignment="1">
      <alignment horizontal="center" vertical="center"/>
    </xf>
    <xf numFmtId="0" fontId="0" fillId="0" borderId="0" xfId="0" applyAlignment="1">
      <alignment vertical="center"/>
    </xf>
    <xf numFmtId="0" fontId="14" fillId="0" borderId="11" xfId="0" applyFont="1" applyBorder="1" applyAlignment="1">
      <alignment horizontal="center" vertical="center"/>
    </xf>
    <xf numFmtId="0" fontId="0" fillId="0" borderId="11" xfId="0" applyFont="1" applyBorder="1" applyAlignment="1">
      <alignment horizontal="center" vertical="center" wrapText="1"/>
    </xf>
    <xf numFmtId="0" fontId="0" fillId="0" borderId="0" xfId="0" applyFont="1" applyBorder="1" applyAlignment="1">
      <alignment horizontal="center" vertical="center" wrapText="1"/>
    </xf>
    <xf numFmtId="0" fontId="15" fillId="0" borderId="11" xfId="0" applyFont="1" applyBorder="1" applyAlignment="1">
      <alignment horizontal="center" vertical="center" wrapText="1"/>
    </xf>
    <xf numFmtId="0" fontId="0" fillId="0" borderId="7" xfId="0" applyBorder="1"/>
    <xf numFmtId="0" fontId="0" fillId="0" borderId="8" xfId="0" applyBorder="1"/>
    <xf numFmtId="10" fontId="14"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0" xfId="6" applyFont="1"/>
    <xf numFmtId="0" fontId="0" fillId="0" borderId="0" xfId="0" applyAlignment="1">
      <alignment horizontal="center" vertical="center" wrapText="1"/>
    </xf>
    <xf numFmtId="168" fontId="0" fillId="2" borderId="11" xfId="3" applyNumberFormat="1" applyFont="1" applyFill="1" applyBorder="1"/>
    <xf numFmtId="168" fontId="0" fillId="3" borderId="11" xfId="0" applyNumberFormat="1" applyFill="1" applyBorder="1"/>
    <xf numFmtId="169" fontId="0" fillId="3" borderId="11" xfId="0" applyNumberFormat="1" applyFill="1" applyBorder="1"/>
    <xf numFmtId="0" fontId="0" fillId="0" borderId="9" xfId="0" applyBorder="1"/>
    <xf numFmtId="3" fontId="14" fillId="0" borderId="12" xfId="7" applyNumberFormat="1" applyAlignment="1">
      <alignment horizontal="center" vertical="center"/>
    </xf>
    <xf numFmtId="0" fontId="14" fillId="0" borderId="12" xfId="7" applyAlignment="1">
      <alignment horizontal="center" vertical="center" wrapText="1"/>
    </xf>
    <xf numFmtId="0" fontId="14" fillId="0" borderId="0" xfId="0" applyFont="1" applyBorder="1" applyAlignment="1">
      <alignment horizontal="center" vertical="center" wrapText="1"/>
    </xf>
    <xf numFmtId="0" fontId="18" fillId="0" borderId="0" xfId="6" applyFont="1" applyAlignment="1">
      <alignment horizontal="center" vertical="center" wrapText="1"/>
    </xf>
    <xf numFmtId="0" fontId="0" fillId="0" borderId="14" xfId="0" applyBorder="1"/>
    <xf numFmtId="0" fontId="0" fillId="0" borderId="15" xfId="0" applyBorder="1"/>
    <xf numFmtId="3" fontId="0" fillId="0" borderId="14" xfId="0" applyNumberFormat="1" applyBorder="1"/>
    <xf numFmtId="0" fontId="19" fillId="0" borderId="13" xfId="0" applyFont="1" applyBorder="1"/>
    <xf numFmtId="3" fontId="0" fillId="2" borderId="0" xfId="0" applyNumberFormat="1" applyFill="1" applyBorder="1"/>
    <xf numFmtId="3" fontId="0" fillId="2" borderId="8" xfId="0" applyNumberFormat="1" applyFill="1" applyBorder="1"/>
    <xf numFmtId="3" fontId="0" fillId="3" borderId="0" xfId="0" applyNumberFormat="1" applyFill="1" applyBorder="1"/>
    <xf numFmtId="3" fontId="0" fillId="3" borderId="8" xfId="0" applyNumberFormat="1" applyFill="1" applyBorder="1"/>
    <xf numFmtId="3" fontId="0" fillId="2" borderId="1" xfId="0" applyNumberFormat="1" applyFill="1" applyBorder="1"/>
    <xf numFmtId="3" fontId="0" fillId="2" borderId="16" xfId="0" applyNumberFormat="1" applyFill="1" applyBorder="1"/>
    <xf numFmtId="164" fontId="0" fillId="2" borderId="16" xfId="0" applyNumberFormat="1" applyFill="1" applyBorder="1"/>
    <xf numFmtId="3" fontId="0" fillId="2" borderId="13" xfId="0" applyNumberFormat="1" applyFill="1" applyBorder="1"/>
    <xf numFmtId="3" fontId="0" fillId="2" borderId="14" xfId="0" applyNumberFormat="1" applyFill="1" applyBorder="1"/>
    <xf numFmtId="3" fontId="0" fillId="2" borderId="7" xfId="0" applyNumberFormat="1" applyFill="1" applyBorder="1"/>
    <xf numFmtId="3" fontId="0" fillId="2" borderId="9" xfId="0" applyNumberFormat="1" applyFill="1" applyBorder="1"/>
    <xf numFmtId="3" fontId="0" fillId="2" borderId="15" xfId="0" applyNumberFormat="1" applyFill="1" applyBorder="1"/>
    <xf numFmtId="3" fontId="0" fillId="3" borderId="9" xfId="0" applyNumberFormat="1" applyFill="1" applyBorder="1"/>
    <xf numFmtId="0" fontId="20" fillId="0" borderId="0" xfId="0" applyFont="1" applyAlignment="1">
      <alignment horizontal="center"/>
    </xf>
    <xf numFmtId="0" fontId="21" fillId="0" borderId="0" xfId="0" applyFont="1"/>
    <xf numFmtId="0" fontId="22" fillId="0" borderId="0" xfId="0" applyFont="1" applyAlignment="1">
      <alignment horizontal="center"/>
    </xf>
    <xf numFmtId="0" fontId="11" fillId="0" borderId="0" xfId="0" applyFont="1"/>
    <xf numFmtId="0" fontId="19" fillId="0" borderId="0" xfId="0" applyFont="1" applyBorder="1" applyAlignment="1">
      <alignment horizontal="center" vertical="center"/>
    </xf>
    <xf numFmtId="0" fontId="13" fillId="0" borderId="10" xfId="5" applyAlignment="1">
      <alignment horizontal="center"/>
    </xf>
    <xf numFmtId="0" fontId="24" fillId="0" borderId="17" xfId="8" applyFont="1"/>
    <xf numFmtId="0" fontId="25" fillId="4" borderId="0" xfId="0" applyFont="1" applyFill="1" applyAlignment="1">
      <alignment horizontal="center"/>
    </xf>
    <xf numFmtId="0" fontId="26" fillId="0" borderId="20" xfId="0" applyFont="1" applyBorder="1" applyAlignment="1">
      <alignment horizontal="center"/>
    </xf>
    <xf numFmtId="0" fontId="26" fillId="0" borderId="18" xfId="0" applyFont="1" applyBorder="1" applyAlignment="1">
      <alignment horizontal="center"/>
    </xf>
    <xf numFmtId="0" fontId="26" fillId="0" borderId="0" xfId="0" applyFont="1" applyBorder="1" applyAlignment="1">
      <alignment horizontal="center"/>
    </xf>
    <xf numFmtId="0" fontId="22" fillId="0" borderId="0" xfId="0" applyFont="1"/>
    <xf numFmtId="0" fontId="28" fillId="0" borderId="0" xfId="0" applyFont="1"/>
    <xf numFmtId="0" fontId="12" fillId="0" borderId="11" xfId="0" applyFont="1" applyBorder="1" applyAlignment="1">
      <alignment vertical="center" wrapText="1"/>
    </xf>
    <xf numFmtId="0" fontId="0" fillId="0" borderId="11" xfId="0" applyBorder="1" applyAlignment="1">
      <alignment vertical="center"/>
    </xf>
    <xf numFmtId="0" fontId="12" fillId="0" borderId="19" xfId="0" applyFont="1" applyBorder="1" applyAlignment="1">
      <alignmen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168" fontId="0" fillId="3" borderId="11" xfId="0" applyNumberFormat="1" applyFill="1" applyBorder="1" applyAlignment="1">
      <alignment horizontal="center"/>
    </xf>
    <xf numFmtId="0" fontId="0" fillId="0" borderId="21" xfId="0" applyFont="1" applyBorder="1" applyAlignment="1">
      <alignment horizontal="center" vertical="center" wrapText="1"/>
    </xf>
    <xf numFmtId="10" fontId="8" fillId="0" borderId="21" xfId="3" applyNumberFormat="1" applyFont="1" applyFill="1" applyBorder="1" applyAlignment="1">
      <alignment horizontal="center" vertical="center" wrapText="1"/>
    </xf>
    <xf numFmtId="0" fontId="0" fillId="0" borderId="23" xfId="0" applyBorder="1"/>
    <xf numFmtId="168" fontId="0" fillId="2" borderId="22" xfId="3" applyNumberFormat="1" applyFont="1" applyFill="1" applyBorder="1" applyAlignment="1">
      <alignment horizontal="center" vertical="center"/>
    </xf>
    <xf numFmtId="0" fontId="14" fillId="0" borderId="11" xfId="0" applyFont="1" applyBorder="1" applyAlignment="1">
      <alignment horizontal="center"/>
    </xf>
    <xf numFmtId="0" fontId="29" fillId="0" borderId="0" xfId="0" applyFont="1" applyAlignment="1">
      <alignment horizontal="center"/>
    </xf>
    <xf numFmtId="0" fontId="30" fillId="0" borderId="0" xfId="6" applyFont="1" applyAlignment="1">
      <alignment horizontal="center"/>
    </xf>
    <xf numFmtId="0" fontId="0" fillId="6" borderId="11" xfId="0" applyFill="1" applyBorder="1" applyAlignment="1">
      <alignment horizontal="center" vertical="center"/>
    </xf>
    <xf numFmtId="0" fontId="0" fillId="7" borderId="11" xfId="0" applyFill="1" applyBorder="1" applyAlignment="1">
      <alignment horizontal="center" vertical="center"/>
    </xf>
    <xf numFmtId="0" fontId="0" fillId="9" borderId="11" xfId="0" applyFill="1" applyBorder="1" applyAlignment="1">
      <alignment horizontal="center" vertical="center"/>
    </xf>
    <xf numFmtId="0" fontId="0" fillId="8" borderId="11" xfId="0" applyFill="1" applyBorder="1" applyAlignment="1">
      <alignment horizontal="center" vertical="center"/>
    </xf>
    <xf numFmtId="0" fontId="17" fillId="0" borderId="0" xfId="0" applyFont="1"/>
    <xf numFmtId="3" fontId="5" fillId="5" borderId="0" xfId="1" applyNumberFormat="1" applyFont="1" applyFill="1" applyBorder="1" applyAlignment="1" applyProtection="1">
      <alignment horizontal="center" vertical="center" wrapText="1"/>
    </xf>
    <xf numFmtId="0" fontId="11" fillId="0" borderId="0" xfId="0" applyFont="1" applyFill="1"/>
    <xf numFmtId="166" fontId="0" fillId="0" borderId="0" xfId="4" applyNumberFormat="1" applyFont="1" applyFill="1"/>
    <xf numFmtId="0" fontId="0" fillId="0" borderId="0" xfId="0" applyFill="1" applyAlignment="1"/>
    <xf numFmtId="3" fontId="0" fillId="0" borderId="0" xfId="0" applyNumberFormat="1" applyFill="1"/>
    <xf numFmtId="0" fontId="0" fillId="0" borderId="0" xfId="0" applyFill="1"/>
    <xf numFmtId="4" fontId="0" fillId="0" borderId="0" xfId="0" applyNumberFormat="1"/>
    <xf numFmtId="43" fontId="0" fillId="0" borderId="0" xfId="4" applyFont="1"/>
    <xf numFmtId="0" fontId="22" fillId="0" borderId="0" xfId="0" applyFont="1" applyFill="1" applyAlignment="1">
      <alignment horizontal="center"/>
    </xf>
    <xf numFmtId="4" fontId="11" fillId="0" borderId="0" xfId="0" applyNumberFormat="1" applyFont="1"/>
    <xf numFmtId="8" fontId="0" fillId="0" borderId="0" xfId="0" applyNumberFormat="1"/>
    <xf numFmtId="0" fontId="14" fillId="10" borderId="11" xfId="0" applyFont="1" applyFill="1" applyBorder="1" applyAlignment="1">
      <alignment horizontal="center" vertical="center" wrapText="1"/>
    </xf>
    <xf numFmtId="0" fontId="0" fillId="0" borderId="0" xfId="0" applyFill="1" applyAlignment="1">
      <alignment horizontal="left" indent="3"/>
    </xf>
    <xf numFmtId="0" fontId="0" fillId="5" borderId="0" xfId="0" applyFill="1"/>
    <xf numFmtId="3" fontId="2" fillId="0" borderId="0" xfId="1" applyNumberFormat="1" applyFont="1"/>
    <xf numFmtId="3" fontId="5" fillId="0" borderId="0" xfId="1" applyNumberFormat="1" applyFont="1"/>
    <xf numFmtId="0" fontId="4" fillId="0" borderId="0" xfId="2" applyFont="1" applyAlignment="1">
      <alignment horizontal="center"/>
    </xf>
    <xf numFmtId="3" fontId="4" fillId="0" borderId="0" xfId="2" applyNumberFormat="1" applyFont="1" applyAlignment="1">
      <alignment horizontal="center"/>
    </xf>
    <xf numFmtId="3" fontId="4" fillId="0" borderId="1" xfId="2" applyNumberFormat="1" applyFont="1" applyBorder="1" applyAlignment="1">
      <alignment horizontal="center"/>
    </xf>
    <xf numFmtId="3" fontId="4" fillId="0" borderId="0" xfId="1" applyNumberFormat="1" applyFont="1" applyAlignment="1">
      <alignment horizontal="center"/>
    </xf>
    <xf numFmtId="3" fontId="3" fillId="0" borderId="0" xfId="1" applyNumberFormat="1" applyFont="1"/>
    <xf numFmtId="3" fontId="6" fillId="0" borderId="0" xfId="1" applyNumberFormat="1" applyFont="1"/>
    <xf numFmtId="3" fontId="7" fillId="0" borderId="0" xfId="1" applyNumberFormat="1" applyFont="1" applyAlignment="1">
      <alignment horizontal="center"/>
    </xf>
    <xf numFmtId="0" fontId="9" fillId="0" borderId="0" xfId="1" applyFont="1" applyAlignment="1">
      <alignment horizontal="center"/>
    </xf>
    <xf numFmtId="3" fontId="9" fillId="0" borderId="0" xfId="1" applyNumberFormat="1" applyFont="1" applyAlignment="1">
      <alignment horizontal="center"/>
    </xf>
    <xf numFmtId="3" fontId="7" fillId="0" borderId="1" xfId="1" applyNumberFormat="1" applyFont="1" applyBorder="1" applyAlignment="1">
      <alignment horizontal="center"/>
    </xf>
    <xf numFmtId="3" fontId="10" fillId="0" borderId="0" xfId="1" applyNumberFormat="1" applyFont="1"/>
    <xf numFmtId="0" fontId="23" fillId="0" borderId="17" xfId="8" applyFill="1"/>
    <xf numFmtId="0" fontId="14" fillId="0" borderId="11" xfId="0" applyFont="1" applyFill="1" applyBorder="1" applyAlignment="1">
      <alignment horizontal="center" vertical="center" wrapText="1"/>
    </xf>
    <xf numFmtId="0" fontId="31" fillId="0" borderId="0" xfId="0" applyFont="1" applyFill="1"/>
    <xf numFmtId="4" fontId="0" fillId="0" borderId="0" xfId="0" applyNumberFormat="1" applyFill="1"/>
    <xf numFmtId="168" fontId="0" fillId="0" borderId="0" xfId="0" applyNumberFormat="1"/>
    <xf numFmtId="170" fontId="0" fillId="0" borderId="0" xfId="0" applyNumberFormat="1"/>
    <xf numFmtId="0" fontId="0" fillId="5" borderId="0" xfId="0" applyFill="1" applyAlignment="1"/>
    <xf numFmtId="171" fontId="0" fillId="0" borderId="0" xfId="9" applyNumberFormat="1" applyFont="1"/>
    <xf numFmtId="166" fontId="0" fillId="0" borderId="0" xfId="0" applyNumberFormat="1" applyFill="1"/>
    <xf numFmtId="0" fontId="0" fillId="5" borderId="0" xfId="0" applyFill="1" applyAlignment="1">
      <alignment horizontal="left" indent="3"/>
    </xf>
    <xf numFmtId="0" fontId="0" fillId="5" borderId="0" xfId="0" applyFill="1" applyAlignment="1">
      <alignment horizontal="left" wrapText="1" indent="3"/>
    </xf>
    <xf numFmtId="3" fontId="0" fillId="5" borderId="0" xfId="0" applyNumberFormat="1" applyFill="1"/>
    <xf numFmtId="14" fontId="22" fillId="0" borderId="0" xfId="0" applyNumberFormat="1" applyFont="1" applyFill="1" applyAlignment="1">
      <alignment horizontal="center"/>
    </xf>
    <xf numFmtId="0" fontId="22" fillId="10" borderId="0" xfId="0" applyFont="1" applyFill="1"/>
    <xf numFmtId="168" fontId="0" fillId="2" borderId="11" xfId="0" applyNumberFormat="1" applyFill="1" applyBorder="1" applyAlignment="1">
      <alignment horizontal="center" vertical="center"/>
    </xf>
  </cellXfs>
  <cellStyles count="10">
    <cellStyle name="Comma" xfId="4" builtinId="3"/>
    <cellStyle name="Comma 2" xfId="1" xr:uid="{00000000-0005-0000-0000-000001000000}"/>
    <cellStyle name="Comma_Book2" xfId="2" xr:uid="{00000000-0005-0000-0000-000002000000}"/>
    <cellStyle name="Currency" xfId="9" builtinId="4"/>
    <cellStyle name="Heading 1" xfId="8" builtinId="16"/>
    <cellStyle name="Heading 2" xfId="5" builtinId="17"/>
    <cellStyle name="Heading 4" xfId="6" builtinId="19"/>
    <cellStyle name="Normal" xfId="0" builtinId="0"/>
    <cellStyle name="Percent" xfId="3" builtinId="5"/>
    <cellStyle name="Total" xfId="7"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39997558519241921"/>
  </sheetPr>
  <dimension ref="A1:B40"/>
  <sheetViews>
    <sheetView showGridLines="0" tabSelected="1" zoomScaleNormal="100" workbookViewId="0"/>
  </sheetViews>
  <sheetFormatPr defaultColWidth="8.7109375" defaultRowHeight="15" x14ac:dyDescent="0.25"/>
  <cols>
    <col min="1" max="1" width="20.42578125" customWidth="1"/>
    <col min="2" max="2" width="167.7109375" customWidth="1"/>
  </cols>
  <sheetData>
    <row r="1" spans="1:2" ht="21.75" thickBot="1" x14ac:dyDescent="0.4">
      <c r="A1" s="73" t="s">
        <v>418</v>
      </c>
    </row>
    <row r="2" spans="1:2" ht="15.75" thickTop="1" x14ac:dyDescent="0.25"/>
    <row r="3" spans="1:2" x14ac:dyDescent="0.25">
      <c r="A3" t="s">
        <v>487</v>
      </c>
    </row>
    <row r="4" spans="1:2" x14ac:dyDescent="0.25">
      <c r="A4" s="93" t="s">
        <v>488</v>
      </c>
      <c r="B4" t="s">
        <v>605</v>
      </c>
    </row>
    <row r="5" spans="1:2" x14ac:dyDescent="0.25">
      <c r="A5" s="94" t="s">
        <v>489</v>
      </c>
      <c r="B5" t="s">
        <v>611</v>
      </c>
    </row>
    <row r="6" spans="1:2" x14ac:dyDescent="0.25">
      <c r="A6" s="95" t="s">
        <v>490</v>
      </c>
      <c r="B6" t="s">
        <v>606</v>
      </c>
    </row>
    <row r="7" spans="1:2" x14ac:dyDescent="0.25">
      <c r="A7" s="96" t="s">
        <v>491</v>
      </c>
      <c r="B7" t="s">
        <v>612</v>
      </c>
    </row>
    <row r="9" spans="1:2" x14ac:dyDescent="0.25">
      <c r="A9" s="31" t="s">
        <v>419</v>
      </c>
      <c r="B9" s="31" t="s">
        <v>133</v>
      </c>
    </row>
    <row r="10" spans="1:2" ht="29.25" customHeight="1" x14ac:dyDescent="0.25">
      <c r="A10" s="81" t="s">
        <v>406</v>
      </c>
      <c r="B10" s="80" t="s">
        <v>471</v>
      </c>
    </row>
    <row r="11" spans="1:2" ht="29.25" customHeight="1" x14ac:dyDescent="0.25">
      <c r="A11" s="81" t="s">
        <v>420</v>
      </c>
      <c r="B11" s="80" t="s">
        <v>421</v>
      </c>
    </row>
    <row r="12" spans="1:2" ht="29.25" customHeight="1" x14ac:dyDescent="0.25">
      <c r="A12" s="81" t="s">
        <v>422</v>
      </c>
      <c r="B12" s="80" t="s">
        <v>614</v>
      </c>
    </row>
    <row r="13" spans="1:2" ht="29.25" customHeight="1" x14ac:dyDescent="0.25">
      <c r="A13" s="81" t="s">
        <v>423</v>
      </c>
      <c r="B13" s="80" t="s">
        <v>591</v>
      </c>
    </row>
    <row r="14" spans="1:2" ht="29.25" customHeight="1" x14ac:dyDescent="0.25">
      <c r="A14" s="81" t="s">
        <v>424</v>
      </c>
      <c r="B14" s="80" t="s">
        <v>425</v>
      </c>
    </row>
    <row r="15" spans="1:2" ht="29.25" customHeight="1" x14ac:dyDescent="0.25">
      <c r="A15" s="81" t="s">
        <v>165</v>
      </c>
      <c r="B15" s="80" t="s">
        <v>426</v>
      </c>
    </row>
    <row r="16" spans="1:2" ht="29.25" customHeight="1" x14ac:dyDescent="0.25">
      <c r="A16" s="81" t="s">
        <v>427</v>
      </c>
      <c r="B16" s="80" t="s">
        <v>428</v>
      </c>
    </row>
    <row r="17" spans="1:2" ht="29.25" customHeight="1" x14ac:dyDescent="0.25">
      <c r="A17" s="81" t="s">
        <v>429</v>
      </c>
      <c r="B17" s="80" t="s">
        <v>430</v>
      </c>
    </row>
    <row r="18" spans="1:2" ht="29.25" customHeight="1" x14ac:dyDescent="0.25">
      <c r="A18" s="81" t="s">
        <v>492</v>
      </c>
      <c r="B18" s="80" t="s">
        <v>493</v>
      </c>
    </row>
    <row r="19" spans="1:2" ht="29.25" customHeight="1" x14ac:dyDescent="0.25">
      <c r="A19" s="81" t="s">
        <v>125</v>
      </c>
      <c r="B19" s="80" t="s">
        <v>590</v>
      </c>
    </row>
    <row r="20" spans="1:2" ht="29.25" customHeight="1" x14ac:dyDescent="0.25">
      <c r="A20" s="81" t="s">
        <v>431</v>
      </c>
      <c r="B20" s="80" t="s">
        <v>439</v>
      </c>
    </row>
    <row r="21" spans="1:2" ht="29.25" customHeight="1" x14ac:dyDescent="0.25">
      <c r="A21" s="81" t="s">
        <v>432</v>
      </c>
      <c r="B21" s="80" t="s">
        <v>439</v>
      </c>
    </row>
    <row r="22" spans="1:2" ht="29.25" customHeight="1" x14ac:dyDescent="0.25">
      <c r="A22" s="81" t="s">
        <v>433</v>
      </c>
      <c r="B22" s="80" t="s">
        <v>439</v>
      </c>
    </row>
    <row r="23" spans="1:2" ht="29.25" customHeight="1" x14ac:dyDescent="0.25">
      <c r="A23" s="81" t="s">
        <v>438</v>
      </c>
      <c r="B23" s="80" t="s">
        <v>439</v>
      </c>
    </row>
    <row r="24" spans="1:2" ht="29.25" customHeight="1" x14ac:dyDescent="0.25">
      <c r="A24" s="81" t="s">
        <v>434</v>
      </c>
      <c r="B24" s="80" t="s">
        <v>439</v>
      </c>
    </row>
    <row r="25" spans="1:2" ht="29.25" customHeight="1" x14ac:dyDescent="0.25">
      <c r="A25" s="81" t="s">
        <v>435</v>
      </c>
      <c r="B25" s="80" t="s">
        <v>439</v>
      </c>
    </row>
    <row r="26" spans="1:2" ht="29.25" customHeight="1" x14ac:dyDescent="0.25">
      <c r="A26" s="81" t="s">
        <v>436</v>
      </c>
      <c r="B26" s="80" t="s">
        <v>439</v>
      </c>
    </row>
    <row r="27" spans="1:2" ht="29.25" customHeight="1" x14ac:dyDescent="0.25">
      <c r="A27" s="81" t="s">
        <v>437</v>
      </c>
      <c r="B27" s="80" t="s">
        <v>439</v>
      </c>
    </row>
    <row r="30" spans="1:2" x14ac:dyDescent="0.25">
      <c r="A30" s="31" t="s">
        <v>440</v>
      </c>
      <c r="B30" s="31" t="s">
        <v>441</v>
      </c>
    </row>
    <row r="31" spans="1:2" ht="80.25" customHeight="1" x14ac:dyDescent="0.25">
      <c r="A31" s="81" t="s">
        <v>0</v>
      </c>
      <c r="B31" s="82" t="s">
        <v>604</v>
      </c>
    </row>
    <row r="32" spans="1:2" ht="40.35" customHeight="1" x14ac:dyDescent="0.25">
      <c r="A32" s="81" t="s">
        <v>442</v>
      </c>
      <c r="B32" s="82" t="s">
        <v>600</v>
      </c>
    </row>
    <row r="33" spans="1:2" ht="40.35" customHeight="1" x14ac:dyDescent="0.25">
      <c r="A33" s="81" t="s">
        <v>1</v>
      </c>
      <c r="B33" s="82" t="s">
        <v>443</v>
      </c>
    </row>
    <row r="34" spans="1:2" ht="40.35" customHeight="1" x14ac:dyDescent="0.25">
      <c r="A34" s="81" t="s">
        <v>279</v>
      </c>
      <c r="B34" s="82" t="s">
        <v>445</v>
      </c>
    </row>
    <row r="35" spans="1:2" ht="40.35" customHeight="1" x14ac:dyDescent="0.25">
      <c r="A35" s="81" t="s">
        <v>280</v>
      </c>
      <c r="B35" s="82" t="s">
        <v>446</v>
      </c>
    </row>
    <row r="36" spans="1:2" ht="40.35" customHeight="1" x14ac:dyDescent="0.25">
      <c r="A36" s="81" t="s">
        <v>281</v>
      </c>
      <c r="B36" s="82" t="s">
        <v>444</v>
      </c>
    </row>
    <row r="37" spans="1:2" ht="40.35" customHeight="1" x14ac:dyDescent="0.25">
      <c r="A37" s="81" t="s">
        <v>293</v>
      </c>
      <c r="B37" s="82" t="s">
        <v>601</v>
      </c>
    </row>
    <row r="38" spans="1:2" ht="40.35" customHeight="1" x14ac:dyDescent="0.25">
      <c r="A38" s="81" t="s">
        <v>282</v>
      </c>
      <c r="B38" s="82" t="s">
        <v>443</v>
      </c>
    </row>
    <row r="39" spans="1:2" ht="40.35" customHeight="1" x14ac:dyDescent="0.25">
      <c r="A39" s="81" t="s">
        <v>290</v>
      </c>
      <c r="B39" s="82" t="s">
        <v>602</v>
      </c>
    </row>
    <row r="40" spans="1:2" ht="40.35" customHeight="1" x14ac:dyDescent="0.25">
      <c r="A40" s="81" t="s">
        <v>289</v>
      </c>
      <c r="B40" s="82" t="s">
        <v>447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9" tint="0.39997558519241921"/>
  </sheetPr>
  <dimension ref="A1:J19"/>
  <sheetViews>
    <sheetView showGridLines="0" workbookViewId="0">
      <selection activeCell="D9" sqref="D9"/>
    </sheetView>
  </sheetViews>
  <sheetFormatPr defaultColWidth="8.7109375" defaultRowHeight="15" x14ac:dyDescent="0.25"/>
  <cols>
    <col min="1" max="1" width="38.140625" bestFit="1" customWidth="1"/>
    <col min="2" max="2" width="16.7109375" customWidth="1"/>
    <col min="3" max="5" width="29" customWidth="1"/>
    <col min="8" max="8" width="30.85546875" bestFit="1" customWidth="1"/>
    <col min="9" max="9" width="17.7109375" bestFit="1" customWidth="1"/>
  </cols>
  <sheetData>
    <row r="1" spans="1:10" ht="20.25" customHeight="1" x14ac:dyDescent="0.3">
      <c r="A1" s="40" t="s">
        <v>72</v>
      </c>
      <c r="B1" s="104"/>
      <c r="H1" s="92" t="s">
        <v>474</v>
      </c>
    </row>
    <row r="2" spans="1:10" ht="20.25" customHeight="1" thickBot="1" x14ac:dyDescent="0.3">
      <c r="A2" s="84" t="s">
        <v>472</v>
      </c>
      <c r="B2" s="89">
        <f>'Consensus Est.'!B4</f>
        <v>4567300000</v>
      </c>
      <c r="C2" s="88"/>
      <c r="D2" s="88"/>
      <c r="E2" s="88"/>
      <c r="H2" s="91" t="s">
        <v>277</v>
      </c>
      <c r="I2" s="91" t="s">
        <v>278</v>
      </c>
    </row>
    <row r="3" spans="1:10" ht="20.25" customHeight="1" thickTop="1" x14ac:dyDescent="0.25">
      <c r="A3" s="83" t="s">
        <v>69</v>
      </c>
      <c r="B3" s="86" t="s">
        <v>61</v>
      </c>
      <c r="C3" s="87">
        <v>6.3500000000000001E-2</v>
      </c>
      <c r="D3" s="87">
        <v>7.3499999999999996E-2</v>
      </c>
      <c r="E3" s="87">
        <v>7.7499999999999999E-2</v>
      </c>
      <c r="H3" s="90" t="s">
        <v>475</v>
      </c>
      <c r="I3" s="85">
        <f>(C4+(C3/E3*E4)+(C3/D3*D4))/B4*B2</f>
        <v>4458976557.4388418</v>
      </c>
      <c r="J3" s="97" t="s">
        <v>592</v>
      </c>
    </row>
    <row r="4" spans="1:10" ht="20.25" customHeight="1" x14ac:dyDescent="0.25">
      <c r="A4" s="27" t="s">
        <v>473</v>
      </c>
      <c r="B4" s="139">
        <v>5159200000</v>
      </c>
      <c r="C4" s="139">
        <v>4480400000</v>
      </c>
      <c r="D4" s="139">
        <v>533200000.00000006</v>
      </c>
      <c r="E4" s="139">
        <v>116900000</v>
      </c>
      <c r="H4" s="90" t="s">
        <v>653</v>
      </c>
      <c r="I4" s="85">
        <f>((1-(C3/D3))*D4)/B4*B2</f>
        <v>64221430.733868957</v>
      </c>
      <c r="J4" s="97"/>
    </row>
    <row r="5" spans="1:10" ht="20.25" customHeight="1" x14ac:dyDescent="0.25">
      <c r="B5" s="108"/>
      <c r="C5" s="129"/>
      <c r="H5" s="90" t="s">
        <v>476</v>
      </c>
      <c r="I5" s="85">
        <f>((1-(C3/E3))*E4)/B4*B2</f>
        <v>18694679.295114521</v>
      </c>
      <c r="J5" s="97" t="s">
        <v>593</v>
      </c>
    </row>
    <row r="6" spans="1:10" ht="20.25" customHeight="1" x14ac:dyDescent="0.25">
      <c r="A6" s="40" t="s">
        <v>477</v>
      </c>
      <c r="C6" s="130"/>
      <c r="D6" s="130"/>
      <c r="E6" s="130"/>
      <c r="H6" s="90" t="s">
        <v>484</v>
      </c>
      <c r="I6" s="85">
        <f>B2-(SUM(I3:I5))</f>
        <v>25407332.532175064</v>
      </c>
      <c r="J6" s="97" t="s">
        <v>594</v>
      </c>
    </row>
    <row r="7" spans="1:10" ht="20.25" customHeight="1" thickBot="1" x14ac:dyDescent="0.3">
      <c r="A7" s="84" t="s">
        <v>472</v>
      </c>
      <c r="B7" s="89">
        <f>'Consensus Est.'!B9</f>
        <v>324200000</v>
      </c>
      <c r="H7" s="90" t="s">
        <v>271</v>
      </c>
      <c r="I7" s="85">
        <f>(B8/(B8+B9))*(B7)</f>
        <v>303102076.87320322</v>
      </c>
      <c r="J7" s="97" t="s">
        <v>595</v>
      </c>
    </row>
    <row r="8" spans="1:10" ht="20.25" customHeight="1" thickTop="1" x14ac:dyDescent="0.25">
      <c r="A8" s="27" t="s">
        <v>478</v>
      </c>
      <c r="B8" s="139">
        <v>324060357</v>
      </c>
      <c r="H8" s="90" t="s">
        <v>480</v>
      </c>
      <c r="I8" s="85">
        <f>(B9/(B8+B9))*(B7)</f>
        <v>21097923.126796775</v>
      </c>
      <c r="J8" s="97" t="s">
        <v>596</v>
      </c>
    </row>
    <row r="9" spans="1:10" ht="20.25" customHeight="1" x14ac:dyDescent="0.25">
      <c r="A9" s="27" t="s">
        <v>479</v>
      </c>
      <c r="B9" s="139">
        <v>22556759</v>
      </c>
      <c r="H9" s="90" t="s">
        <v>482</v>
      </c>
      <c r="I9" s="85">
        <f>B13/(B13+B14)*B12</f>
        <v>351334790.33974397</v>
      </c>
      <c r="J9" s="97" t="s">
        <v>597</v>
      </c>
    </row>
    <row r="10" spans="1:10" ht="20.25" customHeight="1" x14ac:dyDescent="0.25">
      <c r="H10" s="90" t="s">
        <v>483</v>
      </c>
      <c r="I10" s="85">
        <f>B14/(B14+B13)*B12</f>
        <v>128965209.660256</v>
      </c>
      <c r="J10" s="97" t="s">
        <v>598</v>
      </c>
    </row>
    <row r="11" spans="1:10" ht="20.25" customHeight="1" x14ac:dyDescent="0.25">
      <c r="A11" s="40" t="s">
        <v>481</v>
      </c>
    </row>
    <row r="12" spans="1:10" ht="20.25" customHeight="1" thickBot="1" x14ac:dyDescent="0.3">
      <c r="A12" s="84" t="s">
        <v>472</v>
      </c>
      <c r="B12" s="89">
        <f>'Consensus Est.'!B14</f>
        <v>480300000</v>
      </c>
    </row>
    <row r="13" spans="1:10" ht="20.25" customHeight="1" thickTop="1" x14ac:dyDescent="0.25">
      <c r="A13" s="109" t="s">
        <v>485</v>
      </c>
      <c r="B13" s="139">
        <v>339398960</v>
      </c>
    </row>
    <row r="14" spans="1:10" ht="20.25" customHeight="1" x14ac:dyDescent="0.25">
      <c r="A14" s="109" t="s">
        <v>486</v>
      </c>
      <c r="B14" s="139">
        <v>124583899</v>
      </c>
      <c r="C14" s="105"/>
      <c r="D14" s="105"/>
      <c r="E14" s="105"/>
    </row>
    <row r="15" spans="1:10" ht="20.25" customHeight="1" x14ac:dyDescent="0.25"/>
    <row r="16" spans="1:10" ht="20.25" customHeight="1" x14ac:dyDescent="0.25"/>
    <row r="17" ht="20.25" customHeight="1" x14ac:dyDescent="0.25"/>
    <row r="18" ht="20.25" customHeight="1" x14ac:dyDescent="0.25"/>
    <row r="19" ht="20.25" customHeight="1" x14ac:dyDescent="0.25"/>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39997558519241921"/>
  </sheetPr>
  <dimension ref="A1:J65"/>
  <sheetViews>
    <sheetView showGridLines="0" workbookViewId="0"/>
  </sheetViews>
  <sheetFormatPr defaultColWidth="8.7109375" defaultRowHeight="15" x14ac:dyDescent="0.25"/>
  <cols>
    <col min="1" max="1" width="98.7109375" style="103" customWidth="1"/>
    <col min="2" max="2" width="12.28515625" style="103" customWidth="1"/>
    <col min="3" max="3" width="20.42578125" style="103" customWidth="1"/>
    <col min="4" max="4" width="34.42578125" style="103" bestFit="1" customWidth="1"/>
    <col min="5" max="5" width="26.42578125" style="103" customWidth="1"/>
  </cols>
  <sheetData>
    <row r="1" spans="1:10" ht="20.25" thickBot="1" x14ac:dyDescent="0.35">
      <c r="A1" s="125" t="s">
        <v>587</v>
      </c>
    </row>
    <row r="2" spans="1:10" ht="15.75" thickTop="1" x14ac:dyDescent="0.25"/>
    <row r="4" spans="1:10" ht="30" x14ac:dyDescent="0.25">
      <c r="A4" s="126" t="s">
        <v>109</v>
      </c>
      <c r="B4" s="126" t="s">
        <v>589</v>
      </c>
      <c r="C4" s="126" t="s">
        <v>133</v>
      </c>
      <c r="D4" s="126" t="s">
        <v>152</v>
      </c>
      <c r="E4" s="126" t="s">
        <v>588</v>
      </c>
    </row>
    <row r="5" spans="1:10" ht="15.75" x14ac:dyDescent="0.25">
      <c r="A5" s="127" t="s">
        <v>65</v>
      </c>
    </row>
    <row r="6" spans="1:10" x14ac:dyDescent="0.25">
      <c r="A6" s="110" t="s">
        <v>494</v>
      </c>
      <c r="B6" s="103">
        <v>63</v>
      </c>
      <c r="C6" s="101" t="s">
        <v>495</v>
      </c>
      <c r="D6" s="103" t="s">
        <v>151</v>
      </c>
      <c r="E6" s="103" t="str">
        <f>A6&amp;" - "&amp;A$5</f>
        <v>Credit for Property Taxes Paid - Income Tax</v>
      </c>
    </row>
    <row r="7" spans="1:10" x14ac:dyDescent="0.25">
      <c r="A7" s="110" t="s">
        <v>496</v>
      </c>
      <c r="B7" s="103">
        <v>166.8</v>
      </c>
      <c r="C7" s="103" t="s">
        <v>497</v>
      </c>
      <c r="D7" s="103" t="s">
        <v>153</v>
      </c>
      <c r="E7" s="103" t="str">
        <f>A7&amp;" - "&amp;A$5</f>
        <v>Earned Income Tax Credit  - Income Tax</v>
      </c>
    </row>
    <row r="8" spans="1:10" x14ac:dyDescent="0.25">
      <c r="A8" s="110" t="s">
        <v>498</v>
      </c>
      <c r="B8" s="103">
        <v>20</v>
      </c>
      <c r="C8" s="103" t="s">
        <v>634</v>
      </c>
      <c r="D8" s="103" t="s">
        <v>147</v>
      </c>
      <c r="E8" s="103" t="str">
        <f>A8&amp;" - "&amp;A$5</f>
        <v>Angel Investor Tax Credit - Income Tax</v>
      </c>
    </row>
    <row r="9" spans="1:10" ht="15.75" x14ac:dyDescent="0.25">
      <c r="A9" s="127" t="s">
        <v>499</v>
      </c>
    </row>
    <row r="10" spans="1:10" x14ac:dyDescent="0.25">
      <c r="A10" s="110" t="s">
        <v>500</v>
      </c>
      <c r="B10" s="103">
        <v>653.4</v>
      </c>
      <c r="C10" s="103" t="s">
        <v>501</v>
      </c>
      <c r="D10" s="103" t="s">
        <v>146</v>
      </c>
      <c r="E10" s="103" t="str">
        <f>A10&amp;" - "&amp;A$9</f>
        <v>Sales of Food Products for Human Consumption - Sales and Use Tax</v>
      </c>
      <c r="I10">
        <f>IF(J10=E10, 1)</f>
        <v>1</v>
      </c>
      <c r="J10" t="s">
        <v>172</v>
      </c>
    </row>
    <row r="11" spans="1:10" x14ac:dyDescent="0.25">
      <c r="A11" s="110" t="s">
        <v>502</v>
      </c>
      <c r="B11" s="103">
        <v>43.1</v>
      </c>
      <c r="C11" s="103" t="s">
        <v>503</v>
      </c>
      <c r="D11" s="103" t="s">
        <v>150</v>
      </c>
      <c r="E11" s="103" t="str">
        <f t="shared" ref="E11:E36" si="0">A11&amp;" - "&amp;A$9</f>
        <v>Items Purchased with Food Stamps - Sales and Use Tax</v>
      </c>
      <c r="I11">
        <f t="shared" ref="I11:I33" si="1">IF(J11=E11, 1)</f>
        <v>1</v>
      </c>
      <c r="J11" t="s">
        <v>173</v>
      </c>
    </row>
    <row r="12" spans="1:10" x14ac:dyDescent="0.25">
      <c r="A12" s="110" t="s">
        <v>504</v>
      </c>
      <c r="B12" s="103">
        <v>22.7</v>
      </c>
      <c r="C12" s="103" t="s">
        <v>505</v>
      </c>
      <c r="D12" s="103" t="s">
        <v>146</v>
      </c>
      <c r="E12" s="103" t="str">
        <f t="shared" si="0"/>
        <v>Oxygen, Blood Plasma, Prostheses, Wigs, Hearing Aids, Crutches, Walkers, Wheel Chairs, etc - Sales and Use Tax</v>
      </c>
      <c r="I12">
        <f t="shared" si="1"/>
        <v>1</v>
      </c>
      <c r="J12" t="s">
        <v>174</v>
      </c>
    </row>
    <row r="13" spans="1:10" x14ac:dyDescent="0.25">
      <c r="A13" s="110" t="s">
        <v>506</v>
      </c>
      <c r="B13" s="103">
        <v>596.9</v>
      </c>
      <c r="C13" s="103" t="s">
        <v>507</v>
      </c>
      <c r="D13" s="103" t="s">
        <v>146</v>
      </c>
      <c r="E13" s="103" t="str">
        <f t="shared" si="0"/>
        <v>Prescription Medicines, Syringes, and Needles - Sales and Use Tax</v>
      </c>
      <c r="I13">
        <f t="shared" si="1"/>
        <v>1</v>
      </c>
      <c r="J13" t="s">
        <v>175</v>
      </c>
    </row>
    <row r="14" spans="1:10" x14ac:dyDescent="0.25">
      <c r="A14" s="110" t="s">
        <v>508</v>
      </c>
      <c r="B14" s="103">
        <v>32.299999999999997</v>
      </c>
      <c r="C14" s="103" t="s">
        <v>509</v>
      </c>
      <c r="D14" s="103" t="s">
        <v>146</v>
      </c>
      <c r="E14" s="103" t="str">
        <f t="shared" si="0"/>
        <v>Non-prescription drugs and medicines - Sales and Use Tax</v>
      </c>
      <c r="I14">
        <f t="shared" si="1"/>
        <v>1</v>
      </c>
      <c r="J14" t="s">
        <v>176</v>
      </c>
    </row>
    <row r="15" spans="1:10" x14ac:dyDescent="0.25">
      <c r="A15" s="110" t="s">
        <v>510</v>
      </c>
      <c r="B15" s="103">
        <v>193.5</v>
      </c>
      <c r="C15" s="101" t="s">
        <v>511</v>
      </c>
      <c r="D15" s="103" t="s">
        <v>154</v>
      </c>
      <c r="E15" s="103" t="str">
        <f t="shared" si="0"/>
        <v>Certain Utilities Sales - Sales and Use Tax</v>
      </c>
      <c r="I15">
        <f t="shared" si="1"/>
        <v>1</v>
      </c>
      <c r="J15" t="s">
        <v>177</v>
      </c>
    </row>
    <row r="16" spans="1:10" x14ac:dyDescent="0.25">
      <c r="A16" s="110" t="s">
        <v>512</v>
      </c>
      <c r="B16" s="103">
        <v>58.5</v>
      </c>
      <c r="C16" s="101" t="s">
        <v>513</v>
      </c>
      <c r="D16" s="103" t="s">
        <v>147</v>
      </c>
      <c r="E16" s="103" t="str">
        <f t="shared" si="0"/>
        <v>Utilities for Agriculture/Manufacturing - Sales and Use Tax</v>
      </c>
      <c r="I16">
        <f t="shared" si="1"/>
        <v>1</v>
      </c>
      <c r="J16" t="s">
        <v>178</v>
      </c>
    </row>
    <row r="17" spans="1:10" x14ac:dyDescent="0.25">
      <c r="A17" s="110" t="s">
        <v>514</v>
      </c>
      <c r="B17" s="103">
        <v>408.9</v>
      </c>
      <c r="C17" s="101" t="s">
        <v>515</v>
      </c>
      <c r="D17" s="103" t="s">
        <v>148</v>
      </c>
      <c r="E17" s="103" t="str">
        <f t="shared" si="0"/>
        <v>Motor Vehicle Fuel - Sales and Use Tax</v>
      </c>
      <c r="I17">
        <f t="shared" si="1"/>
        <v>1</v>
      </c>
      <c r="J17" t="s">
        <v>179</v>
      </c>
    </row>
    <row r="18" spans="1:10" x14ac:dyDescent="0.25">
      <c r="A18" s="110" t="s">
        <v>647</v>
      </c>
      <c r="B18" s="103">
        <v>10.5</v>
      </c>
      <c r="C18" s="101" t="s">
        <v>648</v>
      </c>
      <c r="D18" s="103" t="s">
        <v>649</v>
      </c>
      <c r="E18" s="103" t="str">
        <f t="shared" si="0"/>
        <v>Newspapers and Magazines - Sales and Use Tax</v>
      </c>
    </row>
    <row r="19" spans="1:10" x14ac:dyDescent="0.25">
      <c r="A19" s="110" t="s">
        <v>516</v>
      </c>
      <c r="B19" s="103">
        <v>11.7</v>
      </c>
      <c r="C19" s="101" t="s">
        <v>517</v>
      </c>
      <c r="D19" s="103" t="s">
        <v>155</v>
      </c>
      <c r="E19" s="103" t="str">
        <f t="shared" si="0"/>
        <v>Solar Energy, Geothermal, and Ice Storage Systems - Sales and Use Tax</v>
      </c>
      <c r="I19">
        <f t="shared" si="1"/>
        <v>1</v>
      </c>
      <c r="J19" t="s">
        <v>180</v>
      </c>
    </row>
    <row r="20" spans="1:10" x14ac:dyDescent="0.25">
      <c r="A20" s="110" t="s">
        <v>518</v>
      </c>
      <c r="B20" s="103">
        <v>139.69999999999999</v>
      </c>
      <c r="C20" s="101" t="s">
        <v>519</v>
      </c>
      <c r="D20" s="103" t="s">
        <v>149</v>
      </c>
      <c r="E20" s="103" t="str">
        <f t="shared" si="0"/>
        <v>Machinery used in Manufacturing and Component Parts for Assembly of Manufacturing Machinery and Production Materials - Sales and Use Tax</v>
      </c>
      <c r="I20">
        <f t="shared" si="1"/>
        <v>1</v>
      </c>
      <c r="J20" t="s">
        <v>181</v>
      </c>
    </row>
    <row r="21" spans="1:10" x14ac:dyDescent="0.25">
      <c r="A21" s="134" t="s">
        <v>661</v>
      </c>
      <c r="B21" s="111">
        <v>12.3</v>
      </c>
      <c r="C21" s="131" t="s">
        <v>668</v>
      </c>
      <c r="D21" s="111" t="s">
        <v>149</v>
      </c>
      <c r="E21" s="111" t="str">
        <f t="shared" si="0"/>
        <v>Agriculture Production - Sales and Use Tax</v>
      </c>
    </row>
    <row r="22" spans="1:10" x14ac:dyDescent="0.25">
      <c r="A22" s="110" t="s">
        <v>520</v>
      </c>
      <c r="B22" s="103">
        <v>83.7</v>
      </c>
      <c r="C22" s="101" t="s">
        <v>521</v>
      </c>
      <c r="D22" s="103" t="s">
        <v>147</v>
      </c>
      <c r="E22" s="103" t="str">
        <f t="shared" si="0"/>
        <v>Aircraft Repair, Replacement Parts; Aircraft Repair Services; etc - Sales and Use Tax</v>
      </c>
      <c r="I22">
        <f t="shared" si="1"/>
        <v>1</v>
      </c>
      <c r="J22" t="s">
        <v>182</v>
      </c>
    </row>
    <row r="23" spans="1:10" x14ac:dyDescent="0.25">
      <c r="A23" s="110" t="s">
        <v>631</v>
      </c>
      <c r="B23" s="103">
        <v>12.2</v>
      </c>
      <c r="C23" s="101" t="s">
        <v>630</v>
      </c>
      <c r="D23" s="103" t="s">
        <v>147</v>
      </c>
      <c r="E23" s="103" t="str">
        <f t="shared" si="0"/>
        <v>Commercial trucks, truck tractors, tractors and semi-trailers and vehicles used in combination therewith - Sales and Use Tax</v>
      </c>
      <c r="I23" t="b">
        <f t="shared" si="1"/>
        <v>0</v>
      </c>
      <c r="J23" t="s">
        <v>615</v>
      </c>
    </row>
    <row r="24" spans="1:10" x14ac:dyDescent="0.25">
      <c r="A24" s="110" t="s">
        <v>522</v>
      </c>
      <c r="B24" s="103">
        <v>14.1</v>
      </c>
      <c r="C24" s="101" t="s">
        <v>523</v>
      </c>
      <c r="D24" s="103" t="s">
        <v>156</v>
      </c>
      <c r="E24" s="103" t="str">
        <f t="shared" si="0"/>
        <v>Marine Fuel - Sales and Use Tax</v>
      </c>
      <c r="I24" t="b">
        <f t="shared" si="1"/>
        <v>0</v>
      </c>
      <c r="J24" t="s">
        <v>184</v>
      </c>
    </row>
    <row r="25" spans="1:10" x14ac:dyDescent="0.25">
      <c r="A25" s="110" t="s">
        <v>524</v>
      </c>
      <c r="B25" s="103">
        <v>351</v>
      </c>
      <c r="C25" s="101" t="s">
        <v>525</v>
      </c>
      <c r="D25" s="103" t="s">
        <v>157</v>
      </c>
      <c r="E25" s="103" t="str">
        <f t="shared" si="0"/>
        <v>Computer and Data Processing - Sales and Use Tax</v>
      </c>
      <c r="I25" t="b">
        <f t="shared" si="1"/>
        <v>0</v>
      </c>
      <c r="J25" t="s">
        <v>186</v>
      </c>
    </row>
    <row r="26" spans="1:10" x14ac:dyDescent="0.25">
      <c r="A26" s="110" t="s">
        <v>526</v>
      </c>
      <c r="B26" s="103">
        <v>16.7</v>
      </c>
      <c r="C26" s="101" t="s">
        <v>527</v>
      </c>
      <c r="D26" s="103" t="s">
        <v>158</v>
      </c>
      <c r="E26" s="103" t="str">
        <f t="shared" si="0"/>
        <v>Calibration Services and ISO Services - Sales and Use Tax</v>
      </c>
      <c r="I26" t="b">
        <f t="shared" si="1"/>
        <v>0</v>
      </c>
      <c r="J26" t="s">
        <v>187</v>
      </c>
    </row>
    <row r="27" spans="1:10" x14ac:dyDescent="0.25">
      <c r="A27" s="110" t="s">
        <v>528</v>
      </c>
      <c r="B27" s="103">
        <v>63.2</v>
      </c>
      <c r="C27" s="101" t="s">
        <v>529</v>
      </c>
      <c r="D27" s="103" t="s">
        <v>151</v>
      </c>
      <c r="E27" s="103" t="str">
        <f t="shared" si="0"/>
        <v>Renovation &amp; Repair for Residential Property - Sales and Use Tax</v>
      </c>
      <c r="I27" t="b">
        <f t="shared" si="1"/>
        <v>0</v>
      </c>
      <c r="J27" t="s">
        <v>188</v>
      </c>
    </row>
    <row r="28" spans="1:10" x14ac:dyDescent="0.25">
      <c r="A28" s="110" t="s">
        <v>530</v>
      </c>
      <c r="B28" s="103">
        <v>423.8</v>
      </c>
      <c r="C28" s="101" t="s">
        <v>531</v>
      </c>
      <c r="D28" s="103" t="s">
        <v>151</v>
      </c>
      <c r="E28" s="103" t="str">
        <f t="shared" si="0"/>
        <v>Patient Care Services - Sales and Use Tax</v>
      </c>
      <c r="I28" t="b">
        <f t="shared" si="1"/>
        <v>0</v>
      </c>
      <c r="J28" t="s">
        <v>189</v>
      </c>
    </row>
    <row r="29" spans="1:10" x14ac:dyDescent="0.25">
      <c r="A29" s="110" t="s">
        <v>532</v>
      </c>
      <c r="B29" s="103">
        <v>12.7</v>
      </c>
      <c r="C29" s="101" t="s">
        <v>533</v>
      </c>
      <c r="D29" s="103" t="s">
        <v>151</v>
      </c>
      <c r="E29" s="103" t="str">
        <f t="shared" si="0"/>
        <v>Amusement and Recreation Services - Sales and Use Tax</v>
      </c>
      <c r="I29" t="b">
        <f t="shared" si="1"/>
        <v>0</v>
      </c>
      <c r="J29" t="s">
        <v>190</v>
      </c>
    </row>
    <row r="30" spans="1:10" x14ac:dyDescent="0.25">
      <c r="A30" s="110" t="s">
        <v>534</v>
      </c>
      <c r="B30" s="103">
        <v>23.7</v>
      </c>
      <c r="C30" s="101" t="s">
        <v>535</v>
      </c>
      <c r="D30" s="103" t="s">
        <v>157</v>
      </c>
      <c r="E30" s="103" t="str">
        <f t="shared" si="0"/>
        <v>Advertising - Sales and Use Tax</v>
      </c>
      <c r="I30" t="b">
        <f t="shared" si="1"/>
        <v>0</v>
      </c>
      <c r="J30" t="s">
        <v>191</v>
      </c>
    </row>
    <row r="31" spans="1:10" x14ac:dyDescent="0.25">
      <c r="A31" s="110" t="s">
        <v>536</v>
      </c>
      <c r="B31" s="128">
        <v>1446.8</v>
      </c>
      <c r="C31" s="101" t="s">
        <v>537</v>
      </c>
      <c r="D31" s="103" t="s">
        <v>159</v>
      </c>
      <c r="E31" s="103" t="str">
        <f t="shared" si="0"/>
        <v>Sales to Government organizations - Sales and Use Tax</v>
      </c>
      <c r="I31" t="b">
        <f t="shared" si="1"/>
        <v>0</v>
      </c>
      <c r="J31" t="s">
        <v>192</v>
      </c>
    </row>
    <row r="32" spans="1:10" x14ac:dyDescent="0.25">
      <c r="A32" s="110" t="s">
        <v>538</v>
      </c>
      <c r="B32" s="103">
        <v>161.4</v>
      </c>
      <c r="C32" s="101" t="s">
        <v>539</v>
      </c>
      <c r="D32" s="103" t="s">
        <v>147</v>
      </c>
      <c r="E32" s="103" t="str">
        <f t="shared" si="0"/>
        <v>Sales to Nonprofit organizations - Sales and Use Tax</v>
      </c>
      <c r="I32" t="b">
        <f t="shared" si="1"/>
        <v>0</v>
      </c>
      <c r="J32" t="s">
        <v>193</v>
      </c>
    </row>
    <row r="33" spans="1:10" x14ac:dyDescent="0.25">
      <c r="A33" s="110" t="s">
        <v>540</v>
      </c>
      <c r="B33" s="103">
        <v>130.19999999999999</v>
      </c>
      <c r="C33" s="101" t="s">
        <v>541</v>
      </c>
      <c r="D33" s="103" t="s">
        <v>147</v>
      </c>
      <c r="E33" s="103" t="str">
        <f t="shared" si="0"/>
        <v>Motor Vehicles &amp; Vessels Purchased by Non-Residents to use Out of State - Sales and Use Tax</v>
      </c>
      <c r="I33" t="b">
        <f t="shared" si="1"/>
        <v>0</v>
      </c>
      <c r="J33" t="s">
        <v>194</v>
      </c>
    </row>
    <row r="34" spans="1:10" x14ac:dyDescent="0.25">
      <c r="A34" s="110" t="s">
        <v>542</v>
      </c>
      <c r="B34" s="103">
        <v>66</v>
      </c>
      <c r="C34" s="101" t="s">
        <v>543</v>
      </c>
      <c r="D34" s="103" t="s">
        <v>147</v>
      </c>
      <c r="E34" s="103" t="str">
        <f t="shared" si="0"/>
        <v>Trade-In of Motor Vehicles, Snowmobiles, Vessels or Farm Tractors, Certain Construction Equipment - Sales and Use Tax</v>
      </c>
    </row>
    <row r="35" spans="1:10" x14ac:dyDescent="0.25">
      <c r="A35" s="135" t="s">
        <v>662</v>
      </c>
      <c r="B35" s="111">
        <v>11.4</v>
      </c>
      <c r="C35" s="131" t="s">
        <v>665</v>
      </c>
      <c r="D35" s="111" t="s">
        <v>147</v>
      </c>
      <c r="E35" s="111" t="str">
        <f t="shared" si="0"/>
        <v>Vessels, Motors for Vessels, Trailers for Transport of Vessels, and Marine Dyed Diesel Fuel - Sales and Use Tax</v>
      </c>
      <c r="F35" s="111"/>
      <c r="G35" s="111"/>
    </row>
    <row r="36" spans="1:10" x14ac:dyDescent="0.25">
      <c r="A36" s="134" t="s">
        <v>663</v>
      </c>
      <c r="B36" s="111">
        <v>10</v>
      </c>
      <c r="C36" s="131" t="s">
        <v>555</v>
      </c>
      <c r="D36" s="111" t="s">
        <v>160</v>
      </c>
      <c r="E36" s="111" t="str">
        <f t="shared" si="0"/>
        <v>Film Production Tax Credit Expansion to Sales - Sales and Use Tax</v>
      </c>
      <c r="F36" s="111"/>
      <c r="G36" s="111"/>
    </row>
    <row r="37" spans="1:10" ht="15.75" x14ac:dyDescent="0.25">
      <c r="A37" s="127" t="s">
        <v>544</v>
      </c>
    </row>
    <row r="38" spans="1:10" x14ac:dyDescent="0.25">
      <c r="A38" s="110" t="s">
        <v>545</v>
      </c>
      <c r="B38" s="103">
        <v>87.8</v>
      </c>
      <c r="C38" s="103" t="s">
        <v>71</v>
      </c>
      <c r="D38" s="103" t="s">
        <v>150</v>
      </c>
      <c r="E38" s="103" t="str">
        <f>A38&amp;" - "&amp;A$37</f>
        <v>Net Operating loss Carry-Forward - Corporation Tax</v>
      </c>
    </row>
    <row r="39" spans="1:10" x14ac:dyDescent="0.25">
      <c r="A39" s="110" t="s">
        <v>546</v>
      </c>
      <c r="B39" s="103">
        <v>0.7</v>
      </c>
      <c r="C39" s="103" t="s">
        <v>547</v>
      </c>
      <c r="D39" s="103" t="s">
        <v>150</v>
      </c>
      <c r="E39" s="103" t="str">
        <f t="shared" ref="E39:E54" si="2">A39&amp;" - "&amp;A$37</f>
        <v>Net Capital Loss Carry-Forward - Corporation Tax</v>
      </c>
    </row>
    <row r="40" spans="1:10" x14ac:dyDescent="0.25">
      <c r="A40" s="110" t="s">
        <v>548</v>
      </c>
      <c r="B40" s="103">
        <v>40</v>
      </c>
      <c r="C40" s="103" t="s">
        <v>549</v>
      </c>
      <c r="D40" s="103" t="s">
        <v>151</v>
      </c>
      <c r="E40" s="103" t="str">
        <f t="shared" si="2"/>
        <v>$2.5 Million Cap on Unitary Liability - Corporation Tax</v>
      </c>
    </row>
    <row r="41" spans="1:10" x14ac:dyDescent="0.25">
      <c r="A41" s="110" t="s">
        <v>550</v>
      </c>
      <c r="B41" s="103">
        <v>0.1</v>
      </c>
      <c r="C41" s="101" t="s">
        <v>551</v>
      </c>
      <c r="D41" s="103" t="s">
        <v>147</v>
      </c>
      <c r="E41" s="103" t="str">
        <f t="shared" si="2"/>
        <v>Apprenticeship - Corporation Tax</v>
      </c>
    </row>
    <row r="42" spans="1:10" x14ac:dyDescent="0.25">
      <c r="A42" s="110" t="s">
        <v>552</v>
      </c>
      <c r="B42" s="103">
        <v>11.4</v>
      </c>
      <c r="C42" s="101" t="s">
        <v>553</v>
      </c>
      <c r="D42" s="103" t="s">
        <v>146</v>
      </c>
      <c r="E42" s="103" t="str">
        <f t="shared" si="2"/>
        <v>Electronic Data Processing - Corporation Tax</v>
      </c>
    </row>
    <row r="43" spans="1:10" x14ac:dyDescent="0.25">
      <c r="A43" s="110" t="s">
        <v>554</v>
      </c>
      <c r="B43" s="103">
        <v>30</v>
      </c>
      <c r="C43" s="101" t="s">
        <v>555</v>
      </c>
      <c r="D43" s="103" t="s">
        <v>160</v>
      </c>
      <c r="E43" s="103" t="str">
        <f t="shared" si="2"/>
        <v>Film Production - Corporation Tax</v>
      </c>
    </row>
    <row r="44" spans="1:10" x14ac:dyDescent="0.25">
      <c r="A44" s="110" t="s">
        <v>556</v>
      </c>
      <c r="B44" s="103">
        <v>10</v>
      </c>
      <c r="C44" s="101" t="s">
        <v>557</v>
      </c>
      <c r="D44" s="103" t="s">
        <v>160</v>
      </c>
      <c r="E44" s="103" t="str">
        <f t="shared" si="2"/>
        <v>Film Production Infrastructure - Corporation Tax</v>
      </c>
    </row>
    <row r="45" spans="1:10" x14ac:dyDescent="0.25">
      <c r="A45" s="110" t="s">
        <v>558</v>
      </c>
      <c r="B45" s="103">
        <v>40</v>
      </c>
      <c r="C45" s="101" t="s">
        <v>559</v>
      </c>
      <c r="D45" s="103" t="s">
        <v>161</v>
      </c>
      <c r="E45" s="103" t="str">
        <f t="shared" si="2"/>
        <v>Fixed Capital - Corporation Tax</v>
      </c>
    </row>
    <row r="46" spans="1:10" x14ac:dyDescent="0.25">
      <c r="A46" s="110" t="s">
        <v>560</v>
      </c>
      <c r="B46" s="103">
        <v>1.3</v>
      </c>
      <c r="C46" s="101" t="s">
        <v>561</v>
      </c>
      <c r="D46" s="103" t="s">
        <v>160</v>
      </c>
      <c r="E46" s="103" t="str">
        <f t="shared" si="2"/>
        <v>Historic Home Rehabilitation, Historic Structure, Historic Preservation, and Historic Rehabilitation - Corporation Tax</v>
      </c>
    </row>
    <row r="47" spans="1:10" x14ac:dyDescent="0.25">
      <c r="A47" s="110" t="s">
        <v>562</v>
      </c>
      <c r="B47" s="103">
        <v>2.5</v>
      </c>
      <c r="C47" s="101" t="s">
        <v>563</v>
      </c>
      <c r="D47" s="103" t="s">
        <v>160</v>
      </c>
      <c r="E47" s="103" t="str">
        <f t="shared" si="2"/>
        <v>Human Capital - Corporation Tax</v>
      </c>
    </row>
    <row r="48" spans="1:10" x14ac:dyDescent="0.25">
      <c r="A48" s="110" t="s">
        <v>632</v>
      </c>
      <c r="B48" s="103">
        <v>0.7</v>
      </c>
      <c r="C48" s="101" t="s">
        <v>633</v>
      </c>
      <c r="D48" s="103" t="s">
        <v>147</v>
      </c>
      <c r="E48" s="103" t="str">
        <f t="shared" si="2"/>
        <v>Mfg Facilities / Service Facilities / Enterprise Zones - Corporation Tax</v>
      </c>
    </row>
    <row r="49" spans="1:5" x14ac:dyDescent="0.25">
      <c r="A49" s="110" t="s">
        <v>566</v>
      </c>
      <c r="B49" s="103">
        <v>0.8</v>
      </c>
      <c r="C49" s="101" t="s">
        <v>567</v>
      </c>
      <c r="D49" s="103" t="s">
        <v>162</v>
      </c>
      <c r="E49" s="103" t="str">
        <f t="shared" si="2"/>
        <v>Machinery and Equipment - Corporation Tax</v>
      </c>
    </row>
    <row r="50" spans="1:5" x14ac:dyDescent="0.25">
      <c r="A50" s="110" t="s">
        <v>568</v>
      </c>
      <c r="B50" s="103">
        <v>1.6</v>
      </c>
      <c r="C50" s="101" t="s">
        <v>569</v>
      </c>
      <c r="D50" s="103" t="s">
        <v>162</v>
      </c>
      <c r="E50" s="103" t="str">
        <f t="shared" si="2"/>
        <v>Neighborhood Assistance - Corporation Tax</v>
      </c>
    </row>
    <row r="51" spans="1:5" x14ac:dyDescent="0.25">
      <c r="A51" s="110" t="s">
        <v>570</v>
      </c>
      <c r="B51" s="103">
        <v>13.5</v>
      </c>
      <c r="C51" s="101" t="s">
        <v>571</v>
      </c>
      <c r="D51" s="103" t="s">
        <v>147</v>
      </c>
      <c r="E51" s="103" t="str">
        <f t="shared" si="2"/>
        <v>Research &amp; Development - Corporation Tax</v>
      </c>
    </row>
    <row r="52" spans="1:5" x14ac:dyDescent="0.25">
      <c r="A52" s="110" t="s">
        <v>572</v>
      </c>
      <c r="B52" s="103">
        <v>33</v>
      </c>
      <c r="C52" s="101" t="s">
        <v>573</v>
      </c>
      <c r="D52" s="103" t="s">
        <v>147</v>
      </c>
      <c r="E52" s="103" t="str">
        <f t="shared" si="2"/>
        <v>Research &amp; Experimentation - Corporation Tax</v>
      </c>
    </row>
    <row r="53" spans="1:5" x14ac:dyDescent="0.25">
      <c r="A53" s="110" t="s">
        <v>574</v>
      </c>
      <c r="B53" s="103">
        <v>6.6</v>
      </c>
      <c r="C53" s="101" t="s">
        <v>575</v>
      </c>
      <c r="D53" s="103" t="s">
        <v>151</v>
      </c>
      <c r="E53" s="103" t="str">
        <f t="shared" si="2"/>
        <v>Sale of Certain Credits - Corporation Tax</v>
      </c>
    </row>
    <row r="54" spans="1:5" x14ac:dyDescent="0.25">
      <c r="A54" s="110" t="s">
        <v>576</v>
      </c>
      <c r="B54" s="103">
        <v>3.7</v>
      </c>
      <c r="C54" s="101" t="s">
        <v>577</v>
      </c>
      <c r="D54" s="103" t="s">
        <v>160</v>
      </c>
      <c r="E54" s="103" t="str">
        <f t="shared" si="2"/>
        <v>Urban and Industrial Reinvestment Credit - Corporation Tax</v>
      </c>
    </row>
    <row r="55" spans="1:5" ht="15.75" x14ac:dyDescent="0.25">
      <c r="A55" s="127" t="s">
        <v>578</v>
      </c>
    </row>
    <row r="56" spans="1:5" x14ac:dyDescent="0.25">
      <c r="A56" s="110" t="s">
        <v>579</v>
      </c>
      <c r="B56" s="103">
        <v>0.6</v>
      </c>
      <c r="C56" s="103" t="s">
        <v>580</v>
      </c>
      <c r="D56" s="103" t="s">
        <v>151</v>
      </c>
      <c r="E56" s="103" t="str">
        <f>A56&amp;" - "&amp;A$55</f>
        <v>Ocean Marine Insurance - Insurance Premiums Tax</v>
      </c>
    </row>
    <row r="57" spans="1:5" x14ac:dyDescent="0.25">
      <c r="A57" s="110" t="s">
        <v>581</v>
      </c>
      <c r="B57" s="103">
        <v>15</v>
      </c>
      <c r="C57" s="103" t="s">
        <v>582</v>
      </c>
      <c r="D57" s="103" t="s">
        <v>150</v>
      </c>
      <c r="E57" s="103" t="str">
        <f t="shared" ref="E57:E65" si="3">A57&amp;" - "&amp;A$55</f>
        <v>State Employee Health Plans - Insurance Premiums Tax</v>
      </c>
    </row>
    <row r="58" spans="1:5" x14ac:dyDescent="0.25">
      <c r="A58" s="134" t="s">
        <v>664</v>
      </c>
      <c r="B58" s="111">
        <v>26</v>
      </c>
      <c r="C58" s="111" t="s">
        <v>667</v>
      </c>
      <c r="D58" s="111" t="s">
        <v>666</v>
      </c>
      <c r="E58" s="111" t="str">
        <f t="shared" si="3"/>
        <v>Medicare, Medicaid, HUSKY and General Assistance - Insurance Premiums Tax</v>
      </c>
    </row>
    <row r="59" spans="1:5" x14ac:dyDescent="0.25">
      <c r="A59" s="110" t="s">
        <v>583</v>
      </c>
      <c r="B59" s="103">
        <v>0.7</v>
      </c>
      <c r="C59" s="103" t="s">
        <v>584</v>
      </c>
      <c r="D59" s="103" t="s">
        <v>158</v>
      </c>
      <c r="E59" s="103" t="str">
        <f t="shared" si="3"/>
        <v>Insurance Department Assessment Credit - Insurance Premiums Tax</v>
      </c>
    </row>
    <row r="60" spans="1:5" x14ac:dyDescent="0.25">
      <c r="A60" s="110" t="s">
        <v>568</v>
      </c>
      <c r="B60" s="103">
        <v>1</v>
      </c>
      <c r="C60" s="103" t="s">
        <v>585</v>
      </c>
      <c r="D60" s="103" t="s">
        <v>162</v>
      </c>
      <c r="E60" s="103" t="str">
        <f t="shared" si="3"/>
        <v>Neighborhood Assistance - Insurance Premiums Tax</v>
      </c>
    </row>
    <row r="61" spans="1:5" x14ac:dyDescent="0.25">
      <c r="A61" s="110" t="s">
        <v>564</v>
      </c>
      <c r="B61" s="103">
        <v>35</v>
      </c>
      <c r="C61" s="103" t="s">
        <v>565</v>
      </c>
      <c r="D61" s="103" t="s">
        <v>158</v>
      </c>
      <c r="E61" s="103" t="str">
        <f t="shared" si="3"/>
        <v>Insurance Reinvestment - Insurance Premiums Tax</v>
      </c>
    </row>
    <row r="62" spans="1:5" x14ac:dyDescent="0.25">
      <c r="A62" s="110" t="s">
        <v>552</v>
      </c>
      <c r="B62" s="103">
        <v>18</v>
      </c>
      <c r="C62" s="103" t="s">
        <v>586</v>
      </c>
      <c r="D62" s="103" t="s">
        <v>146</v>
      </c>
      <c r="E62" s="103" t="str">
        <f t="shared" si="3"/>
        <v>Electronic Data Processing - Insurance Premiums Tax</v>
      </c>
    </row>
    <row r="63" spans="1:5" x14ac:dyDescent="0.25">
      <c r="A63" s="110" t="s">
        <v>554</v>
      </c>
      <c r="B63" s="103">
        <v>42</v>
      </c>
      <c r="C63" s="103" t="s">
        <v>555</v>
      </c>
      <c r="D63" s="103" t="s">
        <v>160</v>
      </c>
      <c r="E63" s="103" t="str">
        <f t="shared" si="3"/>
        <v>Film Production - Insurance Premiums Tax</v>
      </c>
    </row>
    <row r="64" spans="1:5" x14ac:dyDescent="0.25">
      <c r="A64" s="110" t="s">
        <v>556</v>
      </c>
      <c r="B64" s="103">
        <v>1</v>
      </c>
      <c r="C64" s="103" t="s">
        <v>557</v>
      </c>
      <c r="D64" s="103" t="s">
        <v>160</v>
      </c>
      <c r="E64" s="103" t="str">
        <f t="shared" si="3"/>
        <v>Film Production Infrastructure - Insurance Premiums Tax</v>
      </c>
    </row>
    <row r="65" spans="1:5" x14ac:dyDescent="0.25">
      <c r="A65" s="110" t="s">
        <v>576</v>
      </c>
      <c r="B65" s="103">
        <v>8</v>
      </c>
      <c r="C65" s="103" t="s">
        <v>577</v>
      </c>
      <c r="D65" s="103" t="s">
        <v>160</v>
      </c>
      <c r="E65" s="103" t="str">
        <f t="shared" si="3"/>
        <v>Urban and Industrial Reinvestment Credit - Insurance Premiums Tax</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42EF3-FBD0-4589-B434-F366D1FC9A65}">
  <sheetPr>
    <tabColor theme="7"/>
    <pageSetUpPr fitToPage="1"/>
  </sheetPr>
  <dimension ref="A1:AC36"/>
  <sheetViews>
    <sheetView zoomScale="86" zoomScaleNormal="86" workbookViewId="0"/>
  </sheetViews>
  <sheetFormatPr defaultColWidth="9.140625" defaultRowHeight="12.75" x14ac:dyDescent="0.2"/>
  <cols>
    <col min="1" max="1" width="22.7109375" style="1" customWidth="1"/>
    <col min="2" max="2" width="25.7109375" style="112" bestFit="1" customWidth="1"/>
    <col min="3" max="3" width="16.28515625" style="112" customWidth="1"/>
    <col min="4" max="4" width="19" style="112" bestFit="1" customWidth="1"/>
    <col min="5" max="5" width="21.7109375" style="112" customWidth="1"/>
    <col min="6" max="6" width="21.28515625" style="112" customWidth="1"/>
    <col min="7" max="7" width="16.7109375" style="112" customWidth="1"/>
    <col min="8" max="8" width="18" style="112" bestFit="1" customWidth="1"/>
    <col min="9" max="9" width="22" style="112" customWidth="1"/>
    <col min="10" max="10" width="17.7109375" style="112" customWidth="1"/>
    <col min="11" max="11" width="16" style="112" customWidth="1"/>
    <col min="12" max="12" width="22.28515625" style="112" customWidth="1"/>
    <col min="13" max="13" width="24.140625" style="112" customWidth="1"/>
    <col min="14" max="14" width="16.28515625" style="112" customWidth="1"/>
    <col min="15" max="15" width="17.7109375" style="112" bestFit="1" customWidth="1"/>
    <col min="16" max="16" width="16.28515625" style="112" bestFit="1" customWidth="1"/>
    <col min="17" max="16384" width="9.140625" style="112"/>
  </cols>
  <sheetData>
    <row r="1" spans="1:29" ht="89.25" x14ac:dyDescent="0.2">
      <c r="A1" s="98" t="s">
        <v>603</v>
      </c>
      <c r="B1" s="112" t="s">
        <v>2</v>
      </c>
      <c r="C1" s="118" t="s">
        <v>660</v>
      </c>
    </row>
    <row r="2" spans="1:29" x14ac:dyDescent="0.2">
      <c r="M2" s="117" t="s">
        <v>3</v>
      </c>
    </row>
    <row r="3" spans="1:29" s="117" customFormat="1" ht="11.25" x14ac:dyDescent="0.15">
      <c r="A3" s="2"/>
      <c r="C3" s="117" t="s">
        <v>4</v>
      </c>
      <c r="D3" s="117" t="s">
        <v>5</v>
      </c>
      <c r="E3" s="117" t="s">
        <v>6</v>
      </c>
      <c r="F3" s="117" t="s">
        <v>7</v>
      </c>
      <c r="G3" s="117" t="s">
        <v>8</v>
      </c>
      <c r="H3" s="117" t="s">
        <v>9</v>
      </c>
      <c r="I3" s="117" t="s">
        <v>10</v>
      </c>
      <c r="J3" s="117" t="s">
        <v>11</v>
      </c>
      <c r="K3" s="117" t="s">
        <v>12</v>
      </c>
      <c r="L3" s="117" t="s">
        <v>13</v>
      </c>
      <c r="M3" s="117" t="s">
        <v>14</v>
      </c>
      <c r="N3" s="117" t="s">
        <v>15</v>
      </c>
      <c r="O3" s="117" t="s">
        <v>16</v>
      </c>
      <c r="P3" s="117" t="s">
        <v>17</v>
      </c>
    </row>
    <row r="4" spans="1:29" s="114" customFormat="1" ht="11.25" x14ac:dyDescent="0.15">
      <c r="A4" s="3"/>
      <c r="B4" s="116" t="s">
        <v>18</v>
      </c>
      <c r="C4" s="116"/>
      <c r="D4" s="116" t="s">
        <v>19</v>
      </c>
      <c r="E4" s="116" t="s">
        <v>20</v>
      </c>
      <c r="F4" s="116" t="s">
        <v>21</v>
      </c>
      <c r="G4" s="116" t="s">
        <v>22</v>
      </c>
      <c r="H4" s="116" t="s">
        <v>23</v>
      </c>
      <c r="I4" s="116" t="s">
        <v>24</v>
      </c>
      <c r="J4" s="116" t="s">
        <v>25</v>
      </c>
      <c r="K4" s="116" t="s">
        <v>26</v>
      </c>
      <c r="L4" s="116" t="s">
        <v>27</v>
      </c>
      <c r="M4" s="116" t="s">
        <v>28</v>
      </c>
      <c r="N4" s="116" t="s">
        <v>29</v>
      </c>
      <c r="O4" s="116" t="s">
        <v>30</v>
      </c>
      <c r="P4" s="116" t="s">
        <v>31</v>
      </c>
      <c r="Q4" s="115"/>
      <c r="R4" s="115"/>
      <c r="S4" s="115"/>
      <c r="T4" s="115"/>
      <c r="U4" s="115"/>
      <c r="V4" s="115"/>
      <c r="W4" s="115"/>
      <c r="X4" s="115"/>
      <c r="Y4" s="115"/>
      <c r="Z4" s="115"/>
      <c r="AA4" s="115"/>
      <c r="AB4" s="115"/>
      <c r="AC4" s="115"/>
    </row>
    <row r="5" spans="1:29" x14ac:dyDescent="0.2">
      <c r="A5" s="1">
        <v>5000</v>
      </c>
      <c r="B5" s="112" t="s">
        <v>32</v>
      </c>
      <c r="C5" s="112">
        <v>95021</v>
      </c>
      <c r="D5" s="112">
        <v>231665827</v>
      </c>
      <c r="E5" s="112">
        <v>851650</v>
      </c>
      <c r="F5" s="112">
        <v>31386010</v>
      </c>
      <c r="G5" s="112">
        <v>201131467</v>
      </c>
      <c r="H5" s="112">
        <v>2068</v>
      </c>
      <c r="I5" s="112">
        <v>7561</v>
      </c>
      <c r="J5" s="112">
        <v>104</v>
      </c>
      <c r="K5" s="112">
        <v>5678</v>
      </c>
      <c r="L5" s="112">
        <v>1061742</v>
      </c>
      <c r="M5" s="112">
        <v>0</v>
      </c>
      <c r="N5" s="112">
        <v>2169</v>
      </c>
      <c r="O5" s="112">
        <v>5509</v>
      </c>
      <c r="P5" s="112">
        <v>7678</v>
      </c>
    </row>
    <row r="6" spans="1:29" x14ac:dyDescent="0.2">
      <c r="A6" s="1">
        <v>10000</v>
      </c>
      <c r="B6" s="112" t="s">
        <v>33</v>
      </c>
      <c r="C6" s="112">
        <v>78696</v>
      </c>
      <c r="D6" s="112">
        <v>629637170</v>
      </c>
      <c r="E6" s="112">
        <v>1905403</v>
      </c>
      <c r="F6" s="112">
        <v>41565282</v>
      </c>
      <c r="G6" s="112">
        <v>589977292</v>
      </c>
      <c r="H6" s="112">
        <v>4682</v>
      </c>
      <c r="I6" s="112">
        <v>15133</v>
      </c>
      <c r="J6" s="112">
        <v>1248</v>
      </c>
      <c r="K6" s="112">
        <v>7306</v>
      </c>
      <c r="L6" s="112">
        <v>1378846</v>
      </c>
      <c r="M6" s="112">
        <v>0</v>
      </c>
      <c r="N6" s="112">
        <v>5921</v>
      </c>
      <c r="O6" s="112">
        <v>12810</v>
      </c>
      <c r="P6" s="112">
        <v>18731</v>
      </c>
    </row>
    <row r="7" spans="1:29" x14ac:dyDescent="0.2">
      <c r="A7" s="1">
        <v>12000</v>
      </c>
      <c r="B7" s="112" t="s">
        <v>34</v>
      </c>
      <c r="C7" s="112">
        <v>30822</v>
      </c>
      <c r="D7" s="112">
        <v>362303473</v>
      </c>
      <c r="E7" s="112">
        <v>1050256</v>
      </c>
      <c r="F7" s="112">
        <v>24511182</v>
      </c>
      <c r="G7" s="112">
        <v>338842547</v>
      </c>
      <c r="H7" s="112">
        <v>1</v>
      </c>
      <c r="I7" s="112">
        <v>17717</v>
      </c>
      <c r="J7" s="112">
        <v>0</v>
      </c>
      <c r="K7" s="112">
        <v>3722</v>
      </c>
      <c r="L7" s="112">
        <v>707255</v>
      </c>
      <c r="M7" s="112">
        <v>0</v>
      </c>
      <c r="N7" s="112">
        <v>1</v>
      </c>
      <c r="O7" s="112">
        <v>1222</v>
      </c>
      <c r="P7" s="112">
        <v>1223</v>
      </c>
    </row>
    <row r="8" spans="1:29" x14ac:dyDescent="0.2">
      <c r="A8" s="1">
        <v>15000</v>
      </c>
      <c r="B8" s="112" t="s">
        <v>35</v>
      </c>
      <c r="C8" s="112">
        <v>43817</v>
      </c>
      <c r="D8" s="112">
        <v>637501003</v>
      </c>
      <c r="E8" s="112">
        <v>2131049</v>
      </c>
      <c r="F8" s="112">
        <v>49249500</v>
      </c>
      <c r="G8" s="112">
        <v>590382552</v>
      </c>
      <c r="H8" s="112">
        <v>49</v>
      </c>
      <c r="I8" s="112">
        <v>2208</v>
      </c>
      <c r="J8" s="112">
        <v>12402</v>
      </c>
      <c r="K8" s="112">
        <v>6032</v>
      </c>
      <c r="L8" s="112">
        <v>1145224</v>
      </c>
      <c r="M8" s="112">
        <v>0</v>
      </c>
      <c r="N8" s="112">
        <v>12451</v>
      </c>
      <c r="O8" s="112">
        <v>2405</v>
      </c>
      <c r="P8" s="112">
        <v>14856</v>
      </c>
    </row>
    <row r="9" spans="1:29" x14ac:dyDescent="0.2">
      <c r="A9" s="1">
        <v>19000</v>
      </c>
      <c r="B9" s="112" t="s">
        <v>36</v>
      </c>
      <c r="C9" s="112">
        <v>54852</v>
      </c>
      <c r="D9" s="112">
        <v>1019585854</v>
      </c>
      <c r="E9" s="112">
        <v>3077966</v>
      </c>
      <c r="F9" s="112">
        <v>91292110</v>
      </c>
      <c r="G9" s="112">
        <v>931371710</v>
      </c>
      <c r="H9" s="112">
        <v>829005</v>
      </c>
      <c r="I9" s="112">
        <v>65753</v>
      </c>
      <c r="J9" s="112">
        <v>9</v>
      </c>
      <c r="K9" s="112">
        <v>9657</v>
      </c>
      <c r="L9" s="112">
        <v>1803528</v>
      </c>
      <c r="M9" s="112">
        <v>55</v>
      </c>
      <c r="N9" s="112">
        <v>658061</v>
      </c>
      <c r="O9" s="112">
        <v>3565</v>
      </c>
      <c r="P9" s="112">
        <v>661626</v>
      </c>
    </row>
    <row r="10" spans="1:29" x14ac:dyDescent="0.2">
      <c r="A10" s="1">
        <v>20000</v>
      </c>
      <c r="B10" s="112" t="s">
        <v>37</v>
      </c>
      <c r="C10" s="112">
        <v>13862</v>
      </c>
      <c r="D10" s="112">
        <v>297276018</v>
      </c>
      <c r="E10" s="112">
        <v>930265</v>
      </c>
      <c r="F10" s="112">
        <v>27835708</v>
      </c>
      <c r="G10" s="112">
        <v>270370575</v>
      </c>
      <c r="H10" s="112">
        <v>650596</v>
      </c>
      <c r="I10" s="112">
        <v>18386</v>
      </c>
      <c r="J10" s="112">
        <v>48</v>
      </c>
      <c r="K10" s="112">
        <v>2351</v>
      </c>
      <c r="L10" s="112">
        <v>442439</v>
      </c>
      <c r="M10" s="112">
        <v>16</v>
      </c>
      <c r="N10" s="112">
        <v>522815</v>
      </c>
      <c r="O10" s="112">
        <v>2610</v>
      </c>
      <c r="P10" s="112">
        <v>525425</v>
      </c>
    </row>
    <row r="11" spans="1:29" x14ac:dyDescent="0.2">
      <c r="A11" s="1">
        <v>24000</v>
      </c>
      <c r="B11" s="112" t="s">
        <v>38</v>
      </c>
      <c r="C11" s="112">
        <v>50968</v>
      </c>
      <c r="D11" s="112">
        <v>1243715584</v>
      </c>
      <c r="E11" s="112">
        <v>4152647</v>
      </c>
      <c r="F11" s="112">
        <v>128288966</v>
      </c>
      <c r="G11" s="112">
        <v>1119579265</v>
      </c>
      <c r="H11" s="112">
        <v>6178106</v>
      </c>
      <c r="I11" s="112">
        <v>183871</v>
      </c>
      <c r="J11" s="112">
        <v>211</v>
      </c>
      <c r="K11" s="112">
        <v>8855</v>
      </c>
      <c r="L11" s="112">
        <v>1678715</v>
      </c>
      <c r="M11" s="112">
        <v>570</v>
      </c>
      <c r="N11" s="112">
        <v>4946336</v>
      </c>
      <c r="O11" s="112">
        <v>2839</v>
      </c>
      <c r="P11" s="112">
        <v>4949175</v>
      </c>
    </row>
    <row r="12" spans="1:29" x14ac:dyDescent="0.2">
      <c r="A12" s="1">
        <v>25000</v>
      </c>
      <c r="B12" s="112" t="s">
        <v>39</v>
      </c>
      <c r="C12" s="112">
        <v>12015</v>
      </c>
      <c r="D12" s="112">
        <v>328947159</v>
      </c>
      <c r="E12" s="112">
        <v>1032514</v>
      </c>
      <c r="F12" s="112">
        <v>35660960</v>
      </c>
      <c r="G12" s="112">
        <v>294318713</v>
      </c>
      <c r="H12" s="112">
        <v>2226575</v>
      </c>
      <c r="I12" s="112">
        <v>64745</v>
      </c>
      <c r="J12" s="112">
        <v>0</v>
      </c>
      <c r="K12" s="112">
        <v>2079</v>
      </c>
      <c r="L12" s="112">
        <v>396661</v>
      </c>
      <c r="M12" s="112">
        <v>193</v>
      </c>
      <c r="N12" s="112">
        <v>1792218</v>
      </c>
      <c r="O12" s="112">
        <v>837</v>
      </c>
      <c r="P12" s="112">
        <v>1793055</v>
      </c>
    </row>
    <row r="13" spans="1:29" x14ac:dyDescent="0.2">
      <c r="A13" s="1">
        <v>30000</v>
      </c>
      <c r="B13" s="112" t="s">
        <v>40</v>
      </c>
      <c r="C13" s="112">
        <v>57419</v>
      </c>
      <c r="D13" s="112">
        <v>1763326600</v>
      </c>
      <c r="E13" s="112">
        <v>5582652</v>
      </c>
      <c r="F13" s="112">
        <v>191956524</v>
      </c>
      <c r="G13" s="112">
        <v>1576952728</v>
      </c>
      <c r="H13" s="112">
        <v>20061379</v>
      </c>
      <c r="I13" s="112">
        <v>695029</v>
      </c>
      <c r="J13" s="112">
        <v>0</v>
      </c>
      <c r="K13" s="112">
        <v>9391</v>
      </c>
      <c r="L13" s="112">
        <v>1803470</v>
      </c>
      <c r="M13" s="112">
        <v>842</v>
      </c>
      <c r="N13" s="112">
        <v>17573005</v>
      </c>
      <c r="O13" s="112">
        <v>6501</v>
      </c>
      <c r="P13" s="112">
        <v>17579506</v>
      </c>
    </row>
    <row r="14" spans="1:29" x14ac:dyDescent="0.2">
      <c r="A14" s="1">
        <v>34000</v>
      </c>
      <c r="B14" s="112" t="s">
        <v>41</v>
      </c>
      <c r="C14" s="112">
        <v>42773</v>
      </c>
      <c r="D14" s="112">
        <v>1512740421</v>
      </c>
      <c r="E14" s="112">
        <v>4694459</v>
      </c>
      <c r="F14" s="112">
        <v>150060054</v>
      </c>
      <c r="G14" s="112">
        <v>1367374826</v>
      </c>
      <c r="H14" s="112">
        <v>28830062</v>
      </c>
      <c r="I14" s="112">
        <v>1052488</v>
      </c>
      <c r="J14" s="112">
        <v>1483</v>
      </c>
      <c r="K14" s="112">
        <v>6381</v>
      </c>
      <c r="L14" s="112">
        <v>1224541</v>
      </c>
      <c r="M14" s="112">
        <v>1774</v>
      </c>
      <c r="N14" s="112">
        <v>26548966</v>
      </c>
      <c r="O14" s="112">
        <v>4361</v>
      </c>
      <c r="P14" s="112">
        <v>26553327</v>
      </c>
    </row>
    <row r="15" spans="1:29" x14ac:dyDescent="0.2">
      <c r="A15" s="1">
        <v>35000</v>
      </c>
      <c r="B15" s="112" t="s">
        <v>42</v>
      </c>
      <c r="C15" s="112">
        <v>10257</v>
      </c>
      <c r="D15" s="112">
        <v>391023185</v>
      </c>
      <c r="E15" s="112">
        <v>1063896</v>
      </c>
      <c r="F15" s="112">
        <v>38192183</v>
      </c>
      <c r="G15" s="112">
        <v>353894898</v>
      </c>
      <c r="H15" s="112">
        <v>9462155</v>
      </c>
      <c r="I15" s="112">
        <v>309660</v>
      </c>
      <c r="J15" s="112">
        <v>0</v>
      </c>
      <c r="K15" s="112">
        <v>1499</v>
      </c>
      <c r="L15" s="112">
        <v>289919</v>
      </c>
      <c r="M15" s="112">
        <v>937</v>
      </c>
      <c r="N15" s="112">
        <v>8860478</v>
      </c>
      <c r="O15" s="112">
        <v>1048</v>
      </c>
      <c r="P15" s="112">
        <v>8861526</v>
      </c>
    </row>
    <row r="16" spans="1:29" x14ac:dyDescent="0.2">
      <c r="A16" s="1">
        <v>40000</v>
      </c>
      <c r="B16" s="112" t="s">
        <v>43</v>
      </c>
      <c r="C16" s="112">
        <v>46698</v>
      </c>
      <c r="D16" s="112">
        <v>1911190036</v>
      </c>
      <c r="E16" s="112">
        <v>6182984</v>
      </c>
      <c r="F16" s="112">
        <v>169683709</v>
      </c>
      <c r="G16" s="112">
        <v>1747689311</v>
      </c>
      <c r="H16" s="112">
        <v>55376099</v>
      </c>
      <c r="I16" s="112">
        <v>2210553</v>
      </c>
      <c r="J16" s="112">
        <v>1195</v>
      </c>
      <c r="K16" s="112">
        <v>6638</v>
      </c>
      <c r="L16" s="112">
        <v>1277518</v>
      </c>
      <c r="M16" s="112">
        <v>4386</v>
      </c>
      <c r="N16" s="112">
        <v>51870951</v>
      </c>
      <c r="O16" s="112">
        <v>3864</v>
      </c>
      <c r="P16" s="112">
        <v>51874815</v>
      </c>
    </row>
    <row r="17" spans="1:16" x14ac:dyDescent="0.2">
      <c r="A17" s="1">
        <v>44000</v>
      </c>
      <c r="B17" s="112" t="s">
        <v>44</v>
      </c>
      <c r="C17" s="112">
        <v>31933</v>
      </c>
      <c r="D17" s="112">
        <v>1434725049</v>
      </c>
      <c r="E17" s="112">
        <v>4589054</v>
      </c>
      <c r="F17" s="112">
        <v>99581315</v>
      </c>
      <c r="G17" s="112">
        <v>1339732788</v>
      </c>
      <c r="H17" s="112">
        <v>50880243</v>
      </c>
      <c r="I17" s="112">
        <v>2304980</v>
      </c>
      <c r="J17" s="112">
        <v>1457</v>
      </c>
      <c r="K17" s="112">
        <v>4159</v>
      </c>
      <c r="L17" s="112">
        <v>800559</v>
      </c>
      <c r="M17" s="112">
        <v>2934</v>
      </c>
      <c r="N17" s="112">
        <v>47768523</v>
      </c>
      <c r="O17" s="112">
        <v>4036</v>
      </c>
      <c r="P17" s="112">
        <v>47772559</v>
      </c>
    </row>
    <row r="18" spans="1:16" x14ac:dyDescent="0.2">
      <c r="A18" s="1">
        <v>45000</v>
      </c>
      <c r="B18" s="112" t="s">
        <v>45</v>
      </c>
      <c r="C18" s="112">
        <v>7669</v>
      </c>
      <c r="D18" s="112">
        <v>361558310</v>
      </c>
      <c r="E18" s="112">
        <v>1233940</v>
      </c>
      <c r="F18" s="112">
        <v>21519312</v>
      </c>
      <c r="G18" s="112">
        <v>341272938</v>
      </c>
      <c r="H18" s="112">
        <v>13976707</v>
      </c>
      <c r="I18" s="112">
        <v>661725</v>
      </c>
      <c r="J18" s="112">
        <v>0</v>
      </c>
      <c r="K18" s="112">
        <v>957</v>
      </c>
      <c r="L18" s="112">
        <v>185639</v>
      </c>
      <c r="M18" s="112">
        <v>0</v>
      </c>
      <c r="N18" s="112">
        <v>13132460</v>
      </c>
      <c r="O18" s="112">
        <v>950</v>
      </c>
      <c r="P18" s="112">
        <v>13133410</v>
      </c>
    </row>
    <row r="19" spans="1:16" x14ac:dyDescent="0.2">
      <c r="A19" s="1">
        <v>48000</v>
      </c>
      <c r="B19" s="112" t="s">
        <v>46</v>
      </c>
      <c r="C19" s="112">
        <v>21376</v>
      </c>
      <c r="D19" s="112">
        <v>1046668629</v>
      </c>
      <c r="E19" s="112">
        <v>3297217</v>
      </c>
      <c r="F19" s="112">
        <v>56476006</v>
      </c>
      <c r="G19" s="112">
        <v>993489840</v>
      </c>
      <c r="H19" s="112">
        <v>40858335</v>
      </c>
      <c r="I19" s="112">
        <v>1988812</v>
      </c>
      <c r="J19" s="112">
        <v>584</v>
      </c>
      <c r="K19" s="112">
        <v>2504</v>
      </c>
      <c r="L19" s="112">
        <v>485052</v>
      </c>
      <c r="M19" s="112">
        <v>5820</v>
      </c>
      <c r="N19" s="112">
        <v>38359067</v>
      </c>
      <c r="O19" s="112">
        <v>2588</v>
      </c>
      <c r="P19" s="112">
        <v>38361655</v>
      </c>
    </row>
    <row r="20" spans="1:16" x14ac:dyDescent="0.2">
      <c r="A20" s="1">
        <v>50000</v>
      </c>
      <c r="B20" s="112" t="s">
        <v>47</v>
      </c>
      <c r="C20" s="112">
        <v>13715</v>
      </c>
      <c r="D20" s="112">
        <v>700552542</v>
      </c>
      <c r="E20" s="112">
        <v>2764782</v>
      </c>
      <c r="F20" s="112">
        <v>31368999</v>
      </c>
      <c r="G20" s="112">
        <v>671948325</v>
      </c>
      <c r="H20" s="112">
        <v>27768357</v>
      </c>
      <c r="I20" s="112">
        <v>1415337</v>
      </c>
      <c r="J20" s="112">
        <v>498</v>
      </c>
      <c r="K20" s="112">
        <v>1479</v>
      </c>
      <c r="L20" s="112">
        <v>274772</v>
      </c>
      <c r="M20" s="112">
        <v>0</v>
      </c>
      <c r="N20" s="112">
        <v>26072005</v>
      </c>
      <c r="O20" s="112">
        <v>1032</v>
      </c>
      <c r="P20" s="112">
        <v>26073037</v>
      </c>
    </row>
    <row r="21" spans="1:16" x14ac:dyDescent="0.2">
      <c r="A21" s="1">
        <v>60000</v>
      </c>
      <c r="B21" s="112" t="s">
        <v>48</v>
      </c>
      <c r="C21" s="112">
        <v>57763</v>
      </c>
      <c r="D21" s="112">
        <v>3263634469</v>
      </c>
      <c r="E21" s="112">
        <v>10975118</v>
      </c>
      <c r="F21" s="112">
        <v>108726229</v>
      </c>
      <c r="G21" s="112">
        <v>3165883358</v>
      </c>
      <c r="H21" s="112">
        <v>133651462</v>
      </c>
      <c r="I21" s="112">
        <v>7331584</v>
      </c>
      <c r="J21" s="112">
        <v>771</v>
      </c>
      <c r="K21" s="112">
        <v>5564</v>
      </c>
      <c r="L21" s="112">
        <v>909891</v>
      </c>
      <c r="M21" s="112">
        <v>1261</v>
      </c>
      <c r="N21" s="112">
        <v>125375469</v>
      </c>
      <c r="O21" s="112">
        <v>8107</v>
      </c>
      <c r="P21" s="112">
        <v>125383576</v>
      </c>
    </row>
    <row r="22" spans="1:16" x14ac:dyDescent="0.2">
      <c r="A22" s="1">
        <v>74000</v>
      </c>
      <c r="B22" s="112" t="s">
        <v>49</v>
      </c>
      <c r="C22" s="112">
        <v>61889</v>
      </c>
      <c r="D22" s="112">
        <v>4276453191</v>
      </c>
      <c r="E22" s="112">
        <v>14757863</v>
      </c>
      <c r="F22" s="112">
        <v>171191915</v>
      </c>
      <c r="G22" s="112">
        <v>4120019139</v>
      </c>
      <c r="H22" s="112">
        <v>198510581</v>
      </c>
      <c r="I22" s="112">
        <v>11504756</v>
      </c>
      <c r="J22" s="112">
        <v>9</v>
      </c>
      <c r="K22" s="112">
        <v>9459</v>
      </c>
      <c r="L22" s="112">
        <v>1211963</v>
      </c>
      <c r="M22" s="112">
        <v>13007</v>
      </c>
      <c r="N22" s="112">
        <v>185723279</v>
      </c>
      <c r="O22" s="112">
        <v>10869</v>
      </c>
      <c r="P22" s="112">
        <v>185734148</v>
      </c>
    </row>
    <row r="23" spans="1:16" x14ac:dyDescent="0.2">
      <c r="A23" s="1">
        <v>75000</v>
      </c>
      <c r="B23" s="112" t="s">
        <v>50</v>
      </c>
      <c r="C23" s="112">
        <v>3492</v>
      </c>
      <c r="D23" s="112">
        <v>268667598</v>
      </c>
      <c r="E23" s="112">
        <v>1131083</v>
      </c>
      <c r="F23" s="112">
        <v>9664240</v>
      </c>
      <c r="G23" s="112">
        <v>260134441</v>
      </c>
      <c r="H23" s="112">
        <v>13015183</v>
      </c>
      <c r="I23" s="112">
        <v>743544</v>
      </c>
      <c r="J23" s="112">
        <v>111</v>
      </c>
      <c r="K23" s="112">
        <v>562</v>
      </c>
      <c r="L23" s="112">
        <v>61089</v>
      </c>
      <c r="M23" s="112">
        <v>0</v>
      </c>
      <c r="N23" s="112">
        <v>12206924</v>
      </c>
      <c r="O23" s="112">
        <v>1227</v>
      </c>
      <c r="P23" s="112">
        <v>12208151</v>
      </c>
    </row>
    <row r="24" spans="1:16" x14ac:dyDescent="0.2">
      <c r="A24" s="1">
        <v>96000</v>
      </c>
      <c r="B24" s="112" t="s">
        <v>51</v>
      </c>
      <c r="C24" s="112">
        <v>54855</v>
      </c>
      <c r="D24" s="112">
        <v>4764632215</v>
      </c>
      <c r="E24" s="112">
        <v>18405935</v>
      </c>
      <c r="F24" s="112">
        <v>157757554</v>
      </c>
      <c r="G24" s="112">
        <v>4625280596</v>
      </c>
      <c r="H24" s="112">
        <v>236341726</v>
      </c>
      <c r="I24" s="112">
        <v>14928578</v>
      </c>
      <c r="J24" s="112">
        <v>1959</v>
      </c>
      <c r="K24" s="112">
        <v>9612</v>
      </c>
      <c r="L24" s="112">
        <v>761703</v>
      </c>
      <c r="M24" s="112">
        <v>13622</v>
      </c>
      <c r="N24" s="112">
        <v>220561038</v>
      </c>
      <c r="O24" s="112">
        <v>17834</v>
      </c>
      <c r="P24" s="112">
        <v>220578872</v>
      </c>
    </row>
    <row r="25" spans="1:16" x14ac:dyDescent="0.2">
      <c r="A25" s="1">
        <v>100000</v>
      </c>
      <c r="B25" s="112" t="s">
        <v>52</v>
      </c>
      <c r="C25" s="112">
        <v>6611</v>
      </c>
      <c r="D25" s="112">
        <v>664223495</v>
      </c>
      <c r="E25" s="112">
        <v>3704031</v>
      </c>
      <c r="F25" s="112">
        <v>20356462</v>
      </c>
      <c r="G25" s="112">
        <v>647571064</v>
      </c>
      <c r="H25" s="112">
        <v>33813043</v>
      </c>
      <c r="I25" s="112">
        <v>2560957</v>
      </c>
      <c r="J25" s="112">
        <v>0</v>
      </c>
      <c r="K25" s="112">
        <v>1208</v>
      </c>
      <c r="L25" s="112">
        <v>55048</v>
      </c>
      <c r="M25" s="112">
        <v>923</v>
      </c>
      <c r="N25" s="112">
        <v>31167112</v>
      </c>
      <c r="O25" s="112">
        <v>2987</v>
      </c>
      <c r="P25" s="112">
        <v>31170099</v>
      </c>
    </row>
    <row r="26" spans="1:16" x14ac:dyDescent="0.2">
      <c r="A26" s="1">
        <v>150000</v>
      </c>
      <c r="B26" s="112" t="s">
        <v>53</v>
      </c>
      <c r="C26" s="112">
        <v>40366</v>
      </c>
      <c r="D26" s="112">
        <v>4929326782</v>
      </c>
      <c r="E26" s="112">
        <v>35955713</v>
      </c>
      <c r="F26" s="112">
        <v>146487417</v>
      </c>
      <c r="G26" s="112">
        <v>4818795078</v>
      </c>
      <c r="H26" s="112">
        <v>258817333</v>
      </c>
      <c r="I26" s="112">
        <v>22401608</v>
      </c>
      <c r="J26" s="112">
        <v>286</v>
      </c>
      <c r="K26" s="112">
        <v>2407</v>
      </c>
      <c r="L26" s="112">
        <v>47502</v>
      </c>
      <c r="M26" s="112">
        <v>25278</v>
      </c>
      <c r="N26" s="112">
        <v>236155388</v>
      </c>
      <c r="O26" s="112">
        <v>35704</v>
      </c>
      <c r="P26" s="112">
        <v>236191092</v>
      </c>
    </row>
    <row r="27" spans="1:16" x14ac:dyDescent="0.2">
      <c r="A27" s="1">
        <v>200000</v>
      </c>
      <c r="B27" s="112" t="s">
        <v>54</v>
      </c>
      <c r="C27" s="112">
        <v>11768</v>
      </c>
      <c r="D27" s="112">
        <v>2041406212</v>
      </c>
      <c r="E27" s="112">
        <v>27807713</v>
      </c>
      <c r="F27" s="112">
        <v>57879567</v>
      </c>
      <c r="G27" s="112">
        <v>2011334358</v>
      </c>
      <c r="H27" s="112">
        <v>111858535</v>
      </c>
      <c r="I27" s="112">
        <v>12675745</v>
      </c>
      <c r="J27" s="112">
        <v>23291</v>
      </c>
      <c r="K27" s="112">
        <v>0</v>
      </c>
      <c r="L27" s="112">
        <v>0</v>
      </c>
      <c r="M27" s="112">
        <v>31315</v>
      </c>
      <c r="N27" s="112">
        <v>98997079</v>
      </c>
      <c r="O27" s="112">
        <v>4945</v>
      </c>
      <c r="P27" s="112">
        <v>99002024</v>
      </c>
    </row>
    <row r="28" spans="1:16" x14ac:dyDescent="0.2">
      <c r="A28" s="1">
        <v>250000</v>
      </c>
      <c r="B28" s="112" t="s">
        <v>55</v>
      </c>
      <c r="C28" s="112">
        <v>4859</v>
      </c>
      <c r="D28" s="112">
        <v>1087971728</v>
      </c>
      <c r="E28" s="112">
        <v>18636221</v>
      </c>
      <c r="F28" s="112">
        <v>28031248</v>
      </c>
      <c r="G28" s="112">
        <v>1078576701</v>
      </c>
      <c r="H28" s="112">
        <v>63747533</v>
      </c>
      <c r="I28" s="112">
        <v>7809152</v>
      </c>
      <c r="J28" s="112">
        <v>0</v>
      </c>
      <c r="K28" s="112">
        <v>0</v>
      </c>
      <c r="L28" s="112">
        <v>0</v>
      </c>
      <c r="M28" s="112">
        <v>16376</v>
      </c>
      <c r="N28" s="112">
        <v>56032744</v>
      </c>
      <c r="O28" s="112">
        <v>5051</v>
      </c>
      <c r="P28" s="112">
        <v>56037795</v>
      </c>
    </row>
    <row r="29" spans="1:16" x14ac:dyDescent="0.2">
      <c r="A29" s="1">
        <v>350000</v>
      </c>
      <c r="B29" s="112" t="s">
        <v>56</v>
      </c>
      <c r="C29" s="112">
        <v>4188</v>
      </c>
      <c r="D29" s="112">
        <v>1221288836</v>
      </c>
      <c r="E29" s="112">
        <v>26673230</v>
      </c>
      <c r="F29" s="112">
        <v>27675480</v>
      </c>
      <c r="G29" s="112">
        <v>1220286586</v>
      </c>
      <c r="H29" s="112">
        <v>79762443</v>
      </c>
      <c r="I29" s="112">
        <v>10277051</v>
      </c>
      <c r="J29" s="112">
        <v>0</v>
      </c>
      <c r="K29" s="112">
        <v>0</v>
      </c>
      <c r="L29" s="112">
        <v>0</v>
      </c>
      <c r="M29" s="112">
        <v>39377</v>
      </c>
      <c r="N29" s="112">
        <v>69385934</v>
      </c>
      <c r="O29" s="112">
        <v>5130</v>
      </c>
      <c r="P29" s="112">
        <v>69391064</v>
      </c>
    </row>
    <row r="30" spans="1:16" x14ac:dyDescent="0.2">
      <c r="A30" s="1">
        <v>500000</v>
      </c>
      <c r="B30" s="112" t="s">
        <v>57</v>
      </c>
      <c r="C30" s="112">
        <v>2279</v>
      </c>
      <c r="D30" s="112">
        <v>933964967</v>
      </c>
      <c r="E30" s="112">
        <v>27610868</v>
      </c>
      <c r="F30" s="112">
        <v>18314207</v>
      </c>
      <c r="G30" s="112">
        <v>943261628</v>
      </c>
      <c r="H30" s="112">
        <v>64970912</v>
      </c>
      <c r="I30" s="112">
        <v>9251587</v>
      </c>
      <c r="J30" s="112">
        <v>22480</v>
      </c>
      <c r="K30" s="112">
        <v>0</v>
      </c>
      <c r="L30" s="112">
        <v>0</v>
      </c>
      <c r="M30" s="112">
        <v>62959</v>
      </c>
      <c r="N30" s="112">
        <v>55708179</v>
      </c>
      <c r="O30" s="112">
        <v>3626</v>
      </c>
      <c r="P30" s="112">
        <v>55711805</v>
      </c>
    </row>
    <row r="31" spans="1:16" x14ac:dyDescent="0.2">
      <c r="A31" s="1">
        <v>1000000</v>
      </c>
      <c r="B31" s="112" t="s">
        <v>58</v>
      </c>
      <c r="C31" s="112">
        <v>1876</v>
      </c>
      <c r="D31" s="112">
        <v>1248737888</v>
      </c>
      <c r="E31" s="112">
        <v>52232571</v>
      </c>
      <c r="F31" s="112">
        <v>25930888</v>
      </c>
      <c r="G31" s="112">
        <v>1275039571</v>
      </c>
      <c r="H31" s="112">
        <v>88956788</v>
      </c>
      <c r="I31" s="112">
        <v>14747036</v>
      </c>
      <c r="J31" s="112">
        <v>14489</v>
      </c>
      <c r="K31" s="112">
        <v>0</v>
      </c>
      <c r="L31" s="112">
        <v>0</v>
      </c>
      <c r="M31" s="112">
        <v>40871</v>
      </c>
      <c r="N31" s="112">
        <v>74116922</v>
      </c>
      <c r="O31" s="112">
        <v>5860</v>
      </c>
      <c r="P31" s="112">
        <v>74122782</v>
      </c>
    </row>
    <row r="32" spans="1:16" x14ac:dyDescent="0.2">
      <c r="A32" s="1">
        <v>2000000</v>
      </c>
      <c r="B32" s="112" t="s">
        <v>59</v>
      </c>
      <c r="C32" s="112">
        <v>580</v>
      </c>
      <c r="D32" s="112">
        <v>776398161</v>
      </c>
      <c r="E32" s="112">
        <v>31739142</v>
      </c>
      <c r="F32" s="112">
        <v>14266398</v>
      </c>
      <c r="G32" s="112">
        <v>793870905</v>
      </c>
      <c r="H32" s="112">
        <v>55462579</v>
      </c>
      <c r="I32" s="112">
        <v>10409209</v>
      </c>
      <c r="J32" s="112">
        <v>7736</v>
      </c>
      <c r="K32" s="112">
        <v>0</v>
      </c>
      <c r="L32" s="112">
        <v>0</v>
      </c>
      <c r="M32" s="112">
        <v>38590</v>
      </c>
      <c r="N32" s="112">
        <v>45020071</v>
      </c>
      <c r="O32" s="112">
        <v>40169</v>
      </c>
      <c r="P32" s="112">
        <v>45060240</v>
      </c>
    </row>
    <row r="33" spans="1:16" x14ac:dyDescent="0.2">
      <c r="A33" s="1">
        <v>2000001</v>
      </c>
      <c r="B33" s="112" t="s">
        <v>60</v>
      </c>
      <c r="C33" s="112">
        <v>374</v>
      </c>
      <c r="D33" s="112">
        <v>2629680776</v>
      </c>
      <c r="E33" s="112">
        <v>111561521</v>
      </c>
      <c r="F33" s="112">
        <v>45033612</v>
      </c>
      <c r="G33" s="112">
        <v>2696208685</v>
      </c>
      <c r="H33" s="112">
        <v>188446288</v>
      </c>
      <c r="I33" s="112">
        <v>35231119</v>
      </c>
      <c r="J33" s="112">
        <v>0</v>
      </c>
      <c r="K33" s="112">
        <v>0</v>
      </c>
      <c r="L33" s="112">
        <v>0</v>
      </c>
      <c r="M33" s="112">
        <v>85477</v>
      </c>
      <c r="N33" s="112">
        <v>153256116</v>
      </c>
      <c r="O33" s="112">
        <v>75111</v>
      </c>
      <c r="P33" s="112">
        <v>153331227</v>
      </c>
    </row>
    <row r="34" spans="1:16" s="113" customFormat="1" x14ac:dyDescent="0.2">
      <c r="A34" s="4"/>
      <c r="B34" s="113" t="s">
        <v>61</v>
      </c>
      <c r="C34" s="113">
        <v>862793</v>
      </c>
      <c r="D34" s="113">
        <v>41978803178</v>
      </c>
      <c r="E34" s="113">
        <v>425731743</v>
      </c>
      <c r="F34" s="113">
        <v>2019943037</v>
      </c>
      <c r="G34" s="113">
        <v>40384591885</v>
      </c>
      <c r="H34" s="113">
        <v>1784458825</v>
      </c>
      <c r="I34" s="113">
        <v>170885884</v>
      </c>
      <c r="J34" s="113">
        <v>90371</v>
      </c>
      <c r="K34" s="113">
        <v>107500</v>
      </c>
      <c r="L34" s="113">
        <v>18003076</v>
      </c>
      <c r="M34" s="113">
        <v>386583</v>
      </c>
      <c r="N34" s="113">
        <v>1601831682</v>
      </c>
      <c r="O34" s="113">
        <v>272797</v>
      </c>
      <c r="P34" s="113">
        <v>1602104479</v>
      </c>
    </row>
    <row r="36" spans="1:16" s="113" customFormat="1" x14ac:dyDescent="0.2">
      <c r="A36" s="1"/>
    </row>
  </sheetData>
  <pageMargins left="0.75" right="0.75" top="1" bottom="1" header="0.5" footer="0.5"/>
  <pageSetup scale="4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5A32E-EFF0-4DC8-8AB8-370769CDF0BB}">
  <sheetPr>
    <tabColor theme="7"/>
    <pageSetUpPr fitToPage="1"/>
  </sheetPr>
  <dimension ref="A1:AC36"/>
  <sheetViews>
    <sheetView workbookViewId="0"/>
  </sheetViews>
  <sheetFormatPr defaultColWidth="9.140625" defaultRowHeight="12.75" x14ac:dyDescent="0.2"/>
  <cols>
    <col min="1" max="1" width="22.7109375" style="1" customWidth="1"/>
    <col min="2" max="2" width="25.7109375" style="112" bestFit="1" customWidth="1"/>
    <col min="3" max="3" width="17" style="112" customWidth="1"/>
    <col min="4" max="4" width="20" style="112" bestFit="1" customWidth="1"/>
    <col min="5" max="5" width="20.7109375" style="112" customWidth="1"/>
    <col min="6" max="6" width="22.7109375" style="112" customWidth="1"/>
    <col min="7" max="7" width="19" style="112" bestFit="1" customWidth="1"/>
    <col min="8" max="8" width="18" style="112" bestFit="1" customWidth="1"/>
    <col min="9" max="9" width="22.7109375" style="112" customWidth="1"/>
    <col min="10" max="10" width="18.140625" style="112" customWidth="1"/>
    <col min="11" max="11" width="18" style="112" customWidth="1"/>
    <col min="12" max="12" width="22.7109375" style="112" customWidth="1"/>
    <col min="13" max="13" width="24.140625" style="112" customWidth="1"/>
    <col min="14" max="14" width="14.7109375" style="112" customWidth="1"/>
    <col min="15" max="15" width="17.7109375" style="112" bestFit="1" customWidth="1"/>
    <col min="16" max="16" width="18" style="112" bestFit="1" customWidth="1"/>
    <col min="17" max="16384" width="9.140625" style="112"/>
  </cols>
  <sheetData>
    <row r="1" spans="1:29" ht="89.25" x14ac:dyDescent="0.2">
      <c r="A1" s="98" t="s">
        <v>603</v>
      </c>
      <c r="B1" s="112" t="s">
        <v>62</v>
      </c>
      <c r="C1" s="118" t="s">
        <v>660</v>
      </c>
    </row>
    <row r="2" spans="1:29" x14ac:dyDescent="0.2">
      <c r="M2" s="117" t="s">
        <v>3</v>
      </c>
    </row>
    <row r="3" spans="1:29" s="117" customFormat="1" ht="11.25" x14ac:dyDescent="0.15">
      <c r="A3" s="2"/>
      <c r="C3" s="117" t="s">
        <v>4</v>
      </c>
      <c r="D3" s="117" t="s">
        <v>5</v>
      </c>
      <c r="E3" s="117" t="s">
        <v>6</v>
      </c>
      <c r="F3" s="117" t="s">
        <v>7</v>
      </c>
      <c r="G3" s="117" t="s">
        <v>8</v>
      </c>
      <c r="H3" s="117" t="s">
        <v>9</v>
      </c>
      <c r="I3" s="117" t="s">
        <v>10</v>
      </c>
      <c r="J3" s="117" t="s">
        <v>11</v>
      </c>
      <c r="K3" s="117" t="s">
        <v>12</v>
      </c>
      <c r="L3" s="117" t="s">
        <v>13</v>
      </c>
      <c r="M3" s="117" t="s">
        <v>14</v>
      </c>
      <c r="N3" s="117" t="s">
        <v>15</v>
      </c>
      <c r="O3" s="117" t="s">
        <v>16</v>
      </c>
      <c r="P3" s="117" t="s">
        <v>17</v>
      </c>
    </row>
    <row r="4" spans="1:29" s="114" customFormat="1" ht="11.25" x14ac:dyDescent="0.15">
      <c r="A4" s="3"/>
      <c r="B4" s="116" t="s">
        <v>18</v>
      </c>
      <c r="C4" s="116"/>
      <c r="D4" s="116" t="s">
        <v>19</v>
      </c>
      <c r="E4" s="116" t="s">
        <v>20</v>
      </c>
      <c r="F4" s="116" t="s">
        <v>21</v>
      </c>
      <c r="G4" s="116" t="s">
        <v>22</v>
      </c>
      <c r="H4" s="116" t="s">
        <v>23</v>
      </c>
      <c r="I4" s="116" t="s">
        <v>24</v>
      </c>
      <c r="J4" s="116" t="s">
        <v>25</v>
      </c>
      <c r="K4" s="116" t="s">
        <v>26</v>
      </c>
      <c r="L4" s="116" t="s">
        <v>27</v>
      </c>
      <c r="M4" s="116" t="s">
        <v>28</v>
      </c>
      <c r="N4" s="116" t="s">
        <v>29</v>
      </c>
      <c r="O4" s="116" t="s">
        <v>30</v>
      </c>
      <c r="P4" s="116" t="s">
        <v>31</v>
      </c>
      <c r="Q4" s="115"/>
      <c r="R4" s="115"/>
      <c r="S4" s="115"/>
      <c r="T4" s="115"/>
      <c r="U4" s="115"/>
      <c r="V4" s="115"/>
      <c r="W4" s="115"/>
      <c r="X4" s="115"/>
      <c r="Y4" s="115"/>
      <c r="Z4" s="115"/>
      <c r="AA4" s="115"/>
      <c r="AB4" s="115"/>
      <c r="AC4" s="115"/>
    </row>
    <row r="5" spans="1:29" x14ac:dyDescent="0.2">
      <c r="A5" s="1">
        <v>5000</v>
      </c>
      <c r="B5" s="112" t="s">
        <v>32</v>
      </c>
      <c r="C5" s="112">
        <v>7619</v>
      </c>
      <c r="D5" s="112">
        <v>37047617</v>
      </c>
      <c r="E5" s="112">
        <v>1168317</v>
      </c>
      <c r="F5" s="112">
        <v>22484404</v>
      </c>
      <c r="G5" s="112">
        <v>15731530</v>
      </c>
      <c r="H5" s="112">
        <v>671</v>
      </c>
      <c r="I5" s="112">
        <v>12187</v>
      </c>
      <c r="J5" s="112">
        <v>14631</v>
      </c>
      <c r="K5" s="112">
        <v>2917</v>
      </c>
      <c r="L5" s="112">
        <v>571974</v>
      </c>
      <c r="M5" s="112">
        <v>0</v>
      </c>
      <c r="N5" s="112">
        <v>14902</v>
      </c>
      <c r="O5" s="112">
        <v>716</v>
      </c>
      <c r="P5" s="112">
        <v>15618</v>
      </c>
    </row>
    <row r="6" spans="1:29" x14ac:dyDescent="0.2">
      <c r="A6" s="1">
        <v>10000</v>
      </c>
      <c r="B6" s="112" t="s">
        <v>33</v>
      </c>
      <c r="C6" s="112">
        <v>7657</v>
      </c>
      <c r="D6" s="112">
        <v>80439866</v>
      </c>
      <c r="E6" s="112">
        <v>524258</v>
      </c>
      <c r="F6" s="112">
        <v>22709461</v>
      </c>
      <c r="G6" s="112">
        <v>58254663</v>
      </c>
      <c r="H6" s="112">
        <v>1</v>
      </c>
      <c r="I6" s="112">
        <v>207</v>
      </c>
      <c r="J6" s="112">
        <v>0</v>
      </c>
      <c r="K6" s="112">
        <v>3503</v>
      </c>
      <c r="L6" s="112">
        <v>690462</v>
      </c>
      <c r="M6" s="112">
        <v>0</v>
      </c>
      <c r="N6" s="112">
        <v>0</v>
      </c>
      <c r="O6" s="112">
        <v>629</v>
      </c>
      <c r="P6" s="112">
        <v>629</v>
      </c>
    </row>
    <row r="7" spans="1:29" x14ac:dyDescent="0.2">
      <c r="A7" s="1">
        <v>12000</v>
      </c>
      <c r="B7" s="112" t="s">
        <v>34</v>
      </c>
      <c r="C7" s="112">
        <v>3691</v>
      </c>
      <c r="D7" s="112">
        <v>53251473</v>
      </c>
      <c r="E7" s="112">
        <v>257827</v>
      </c>
      <c r="F7" s="112">
        <v>12907769</v>
      </c>
      <c r="G7" s="112">
        <v>40601531</v>
      </c>
      <c r="H7" s="112">
        <v>0</v>
      </c>
      <c r="I7" s="112">
        <v>54</v>
      </c>
      <c r="J7" s="112">
        <v>0</v>
      </c>
      <c r="K7" s="112">
        <v>1780</v>
      </c>
      <c r="L7" s="112">
        <v>351865</v>
      </c>
      <c r="M7" s="112">
        <v>0</v>
      </c>
      <c r="N7" s="112">
        <v>0</v>
      </c>
      <c r="O7" s="112">
        <v>431</v>
      </c>
      <c r="P7" s="112">
        <v>431</v>
      </c>
    </row>
    <row r="8" spans="1:29" x14ac:dyDescent="0.2">
      <c r="A8" s="1">
        <v>15000</v>
      </c>
      <c r="B8" s="112" t="s">
        <v>35</v>
      </c>
      <c r="C8" s="112">
        <v>6322</v>
      </c>
      <c r="D8" s="112">
        <v>113172790</v>
      </c>
      <c r="E8" s="112">
        <v>705394</v>
      </c>
      <c r="F8" s="112">
        <v>28176159</v>
      </c>
      <c r="G8" s="112">
        <v>85702025</v>
      </c>
      <c r="H8" s="112">
        <v>2</v>
      </c>
      <c r="I8" s="112">
        <v>1</v>
      </c>
      <c r="J8" s="112">
        <v>0</v>
      </c>
      <c r="K8" s="112">
        <v>3097</v>
      </c>
      <c r="L8" s="112">
        <v>610497</v>
      </c>
      <c r="M8" s="112">
        <v>0</v>
      </c>
      <c r="N8" s="112">
        <v>2</v>
      </c>
      <c r="O8" s="112">
        <v>581</v>
      </c>
      <c r="P8" s="112">
        <v>583</v>
      </c>
    </row>
    <row r="9" spans="1:29" x14ac:dyDescent="0.2">
      <c r="A9" s="1">
        <v>19000</v>
      </c>
      <c r="B9" s="112" t="s">
        <v>36</v>
      </c>
      <c r="C9" s="112">
        <v>9594</v>
      </c>
      <c r="D9" s="112">
        <v>219333626</v>
      </c>
      <c r="E9" s="112">
        <v>1198668</v>
      </c>
      <c r="F9" s="112">
        <v>57169248</v>
      </c>
      <c r="G9" s="112">
        <v>163363046</v>
      </c>
      <c r="H9" s="112">
        <v>1620</v>
      </c>
      <c r="I9" s="112">
        <v>459</v>
      </c>
      <c r="J9" s="112">
        <v>0</v>
      </c>
      <c r="K9" s="112">
        <v>5000</v>
      </c>
      <c r="L9" s="112">
        <v>986490</v>
      </c>
      <c r="M9" s="112">
        <v>0</v>
      </c>
      <c r="N9" s="112">
        <v>1420</v>
      </c>
      <c r="O9" s="112">
        <v>1346</v>
      </c>
      <c r="P9" s="112">
        <v>2766</v>
      </c>
    </row>
    <row r="10" spans="1:29" x14ac:dyDescent="0.2">
      <c r="A10" s="1">
        <v>20000</v>
      </c>
      <c r="B10" s="112" t="s">
        <v>37</v>
      </c>
      <c r="C10" s="112">
        <v>2503</v>
      </c>
      <c r="D10" s="112">
        <v>65454703</v>
      </c>
      <c r="E10" s="112">
        <v>222744</v>
      </c>
      <c r="F10" s="112">
        <v>16836675</v>
      </c>
      <c r="G10" s="112">
        <v>48840772</v>
      </c>
      <c r="H10" s="112">
        <v>0</v>
      </c>
      <c r="I10" s="112">
        <v>567</v>
      </c>
      <c r="J10" s="112">
        <v>0</v>
      </c>
      <c r="K10" s="112">
        <v>1336</v>
      </c>
      <c r="L10" s="112">
        <v>263484</v>
      </c>
      <c r="M10" s="112">
        <v>0</v>
      </c>
      <c r="N10" s="112">
        <v>0</v>
      </c>
      <c r="O10" s="112">
        <v>139</v>
      </c>
      <c r="P10" s="112">
        <v>139</v>
      </c>
    </row>
    <row r="11" spans="1:29" x14ac:dyDescent="0.2">
      <c r="A11" s="1">
        <v>24000</v>
      </c>
      <c r="B11" s="112" t="s">
        <v>38</v>
      </c>
      <c r="C11" s="112">
        <v>11353</v>
      </c>
      <c r="D11" s="112">
        <v>339453192</v>
      </c>
      <c r="E11" s="112">
        <v>1280475</v>
      </c>
      <c r="F11" s="112">
        <v>90553319</v>
      </c>
      <c r="G11" s="112">
        <v>250180348</v>
      </c>
      <c r="H11" s="112">
        <v>4</v>
      </c>
      <c r="I11" s="112">
        <v>50</v>
      </c>
      <c r="J11" s="112">
        <v>2</v>
      </c>
      <c r="K11" s="112">
        <v>6096</v>
      </c>
      <c r="L11" s="112">
        <v>1202160</v>
      </c>
      <c r="M11" s="112">
        <v>0</v>
      </c>
      <c r="N11" s="112">
        <v>1</v>
      </c>
      <c r="O11" s="112">
        <v>2223</v>
      </c>
      <c r="P11" s="112">
        <v>2224</v>
      </c>
    </row>
    <row r="12" spans="1:29" x14ac:dyDescent="0.2">
      <c r="A12" s="1">
        <v>25000</v>
      </c>
      <c r="B12" s="112" t="s">
        <v>39</v>
      </c>
      <c r="C12" s="112">
        <v>2894</v>
      </c>
      <c r="D12" s="112">
        <v>97038078</v>
      </c>
      <c r="E12" s="112">
        <v>328292</v>
      </c>
      <c r="F12" s="112">
        <v>26490354</v>
      </c>
      <c r="G12" s="112">
        <v>70876016</v>
      </c>
      <c r="H12" s="112">
        <v>10504</v>
      </c>
      <c r="I12" s="112">
        <v>61</v>
      </c>
      <c r="J12" s="112">
        <v>0</v>
      </c>
      <c r="K12" s="112">
        <v>1852</v>
      </c>
      <c r="L12" s="112">
        <v>363377</v>
      </c>
      <c r="M12" s="112">
        <v>1</v>
      </c>
      <c r="N12" s="112">
        <v>3596</v>
      </c>
      <c r="O12" s="112">
        <v>499</v>
      </c>
      <c r="P12" s="112">
        <v>4095</v>
      </c>
    </row>
    <row r="13" spans="1:29" x14ac:dyDescent="0.2">
      <c r="A13" s="1">
        <v>30000</v>
      </c>
      <c r="B13" s="112" t="s">
        <v>40</v>
      </c>
      <c r="C13" s="112">
        <v>14889</v>
      </c>
      <c r="D13" s="112">
        <v>563651881</v>
      </c>
      <c r="E13" s="112">
        <v>2262003</v>
      </c>
      <c r="F13" s="112">
        <v>156331925</v>
      </c>
      <c r="G13" s="112">
        <v>409581960</v>
      </c>
      <c r="H13" s="112">
        <v>391420</v>
      </c>
      <c r="I13" s="112">
        <v>75341</v>
      </c>
      <c r="J13" s="112">
        <v>24</v>
      </c>
      <c r="K13" s="112">
        <v>9869</v>
      </c>
      <c r="L13" s="112">
        <v>1935476</v>
      </c>
      <c r="M13" s="112">
        <v>1</v>
      </c>
      <c r="N13" s="112">
        <v>128215</v>
      </c>
      <c r="O13" s="112">
        <v>2997</v>
      </c>
      <c r="P13" s="112">
        <v>131212</v>
      </c>
    </row>
    <row r="14" spans="1:29" x14ac:dyDescent="0.2">
      <c r="A14" s="1">
        <v>34000</v>
      </c>
      <c r="B14" s="112" t="s">
        <v>41</v>
      </c>
      <c r="C14" s="112">
        <v>12038</v>
      </c>
      <c r="D14" s="112">
        <v>529819639</v>
      </c>
      <c r="E14" s="112">
        <v>2022017</v>
      </c>
      <c r="F14" s="112">
        <v>146477983</v>
      </c>
      <c r="G14" s="112">
        <v>385363673</v>
      </c>
      <c r="H14" s="112">
        <v>1428883</v>
      </c>
      <c r="I14" s="112">
        <v>18194</v>
      </c>
      <c r="J14" s="112">
        <v>3024</v>
      </c>
      <c r="K14" s="112">
        <v>7913</v>
      </c>
      <c r="L14" s="112">
        <v>1553059</v>
      </c>
      <c r="M14" s="112">
        <v>0</v>
      </c>
      <c r="N14" s="112">
        <v>484718</v>
      </c>
      <c r="O14" s="112">
        <v>1983</v>
      </c>
      <c r="P14" s="112">
        <v>486701</v>
      </c>
    </row>
    <row r="15" spans="1:29" x14ac:dyDescent="0.2">
      <c r="A15" s="1">
        <v>35000</v>
      </c>
      <c r="B15" s="112" t="s">
        <v>42</v>
      </c>
      <c r="C15" s="112">
        <v>3066</v>
      </c>
      <c r="D15" s="112">
        <v>145143992</v>
      </c>
      <c r="E15" s="112">
        <v>611932</v>
      </c>
      <c r="F15" s="112">
        <v>39990559</v>
      </c>
      <c r="G15" s="112">
        <v>105765365</v>
      </c>
      <c r="H15" s="112">
        <v>626990</v>
      </c>
      <c r="I15" s="112">
        <v>10602</v>
      </c>
      <c r="J15" s="112">
        <v>0</v>
      </c>
      <c r="K15" s="112">
        <v>1992</v>
      </c>
      <c r="L15" s="112">
        <v>391032</v>
      </c>
      <c r="M15" s="112">
        <v>0</v>
      </c>
      <c r="N15" s="112">
        <v>226741</v>
      </c>
      <c r="O15" s="112">
        <v>721</v>
      </c>
      <c r="P15" s="112">
        <v>227462</v>
      </c>
    </row>
    <row r="16" spans="1:29" x14ac:dyDescent="0.2">
      <c r="A16" s="1">
        <v>40000</v>
      </c>
      <c r="B16" s="112" t="s">
        <v>43</v>
      </c>
      <c r="C16" s="112">
        <v>15248</v>
      </c>
      <c r="D16" s="112">
        <v>785303982</v>
      </c>
      <c r="E16" s="112">
        <v>3618498</v>
      </c>
      <c r="F16" s="112">
        <v>217221785</v>
      </c>
      <c r="G16" s="112">
        <v>571700695</v>
      </c>
      <c r="H16" s="112">
        <v>4015708</v>
      </c>
      <c r="I16" s="112">
        <v>67761</v>
      </c>
      <c r="J16" s="112">
        <v>25624</v>
      </c>
      <c r="K16" s="112">
        <v>9937</v>
      </c>
      <c r="L16" s="112">
        <v>1957159</v>
      </c>
      <c r="M16" s="112">
        <v>565</v>
      </c>
      <c r="N16" s="112">
        <v>2014736</v>
      </c>
      <c r="O16" s="112">
        <v>5063</v>
      </c>
      <c r="P16" s="112">
        <v>2019799</v>
      </c>
    </row>
    <row r="17" spans="1:16" x14ac:dyDescent="0.2">
      <c r="A17" s="1">
        <v>44000</v>
      </c>
      <c r="B17" s="112" t="s">
        <v>44</v>
      </c>
      <c r="C17" s="112">
        <v>12126</v>
      </c>
      <c r="D17" s="112">
        <v>688834604</v>
      </c>
      <c r="E17" s="112">
        <v>3283950</v>
      </c>
      <c r="F17" s="112">
        <v>183116066</v>
      </c>
      <c r="G17" s="112">
        <v>509002488</v>
      </c>
      <c r="H17" s="112">
        <v>5329781</v>
      </c>
      <c r="I17" s="112">
        <v>119561</v>
      </c>
      <c r="J17" s="112">
        <v>0</v>
      </c>
      <c r="K17" s="112">
        <v>7894</v>
      </c>
      <c r="L17" s="112">
        <v>1557630</v>
      </c>
      <c r="M17" s="112">
        <v>1145</v>
      </c>
      <c r="N17" s="112">
        <v>3648106</v>
      </c>
      <c r="O17" s="112">
        <v>3964</v>
      </c>
      <c r="P17" s="112">
        <v>3652070</v>
      </c>
    </row>
    <row r="18" spans="1:16" x14ac:dyDescent="0.2">
      <c r="A18" s="1">
        <v>45000</v>
      </c>
      <c r="B18" s="112" t="s">
        <v>45</v>
      </c>
      <c r="C18" s="112">
        <v>2944</v>
      </c>
      <c r="D18" s="112">
        <v>174026278</v>
      </c>
      <c r="E18" s="112">
        <v>979756</v>
      </c>
      <c r="F18" s="112">
        <v>44004375</v>
      </c>
      <c r="G18" s="112">
        <v>131001659</v>
      </c>
      <c r="H18" s="112">
        <v>1563529</v>
      </c>
      <c r="I18" s="112">
        <v>48219</v>
      </c>
      <c r="J18" s="112">
        <v>0</v>
      </c>
      <c r="K18" s="112">
        <v>1886</v>
      </c>
      <c r="L18" s="112">
        <v>372151</v>
      </c>
      <c r="M18" s="112">
        <v>0</v>
      </c>
      <c r="N18" s="112">
        <v>1143391</v>
      </c>
      <c r="O18" s="112">
        <v>976</v>
      </c>
      <c r="P18" s="112">
        <v>1144367</v>
      </c>
    </row>
    <row r="19" spans="1:16" x14ac:dyDescent="0.2">
      <c r="A19" s="1">
        <v>48000</v>
      </c>
      <c r="B19" s="112" t="s">
        <v>46</v>
      </c>
      <c r="C19" s="112">
        <v>8674</v>
      </c>
      <c r="D19" s="112">
        <v>529397535</v>
      </c>
      <c r="E19" s="112">
        <v>2865154</v>
      </c>
      <c r="F19" s="112">
        <v>129147260</v>
      </c>
      <c r="G19" s="112">
        <v>403115429</v>
      </c>
      <c r="H19" s="112">
        <v>5335503</v>
      </c>
      <c r="I19" s="112">
        <v>152403</v>
      </c>
      <c r="J19" s="112">
        <v>12852</v>
      </c>
      <c r="K19" s="112">
        <v>5552</v>
      </c>
      <c r="L19" s="112">
        <v>1095848</v>
      </c>
      <c r="M19" s="112">
        <v>1167</v>
      </c>
      <c r="N19" s="112">
        <v>4098033</v>
      </c>
      <c r="O19" s="112">
        <v>1851</v>
      </c>
      <c r="P19" s="112">
        <v>4099884</v>
      </c>
    </row>
    <row r="20" spans="1:16" x14ac:dyDescent="0.2">
      <c r="A20" s="1">
        <v>50000</v>
      </c>
      <c r="B20" s="112" t="s">
        <v>47</v>
      </c>
      <c r="C20" s="112">
        <v>5781</v>
      </c>
      <c r="D20" s="112">
        <v>364813700</v>
      </c>
      <c r="E20" s="112">
        <v>1836875</v>
      </c>
      <c r="F20" s="112">
        <v>83372844</v>
      </c>
      <c r="G20" s="112">
        <v>283277731</v>
      </c>
      <c r="H20" s="112">
        <v>4548106</v>
      </c>
      <c r="I20" s="112">
        <v>147017</v>
      </c>
      <c r="J20" s="112">
        <v>1086</v>
      </c>
      <c r="K20" s="112">
        <v>3657</v>
      </c>
      <c r="L20" s="112">
        <v>722974</v>
      </c>
      <c r="M20" s="112">
        <v>0</v>
      </c>
      <c r="N20" s="112">
        <v>3678640</v>
      </c>
      <c r="O20" s="112">
        <v>1180</v>
      </c>
      <c r="P20" s="112">
        <v>3679820</v>
      </c>
    </row>
    <row r="21" spans="1:16" x14ac:dyDescent="0.2">
      <c r="A21" s="1">
        <v>60000</v>
      </c>
      <c r="B21" s="112" t="s">
        <v>48</v>
      </c>
      <c r="C21" s="112">
        <v>26268</v>
      </c>
      <c r="D21" s="112">
        <v>1747761919</v>
      </c>
      <c r="E21" s="112">
        <v>10695351</v>
      </c>
      <c r="F21" s="112">
        <v>316519732</v>
      </c>
      <c r="G21" s="112">
        <v>1441937538</v>
      </c>
      <c r="H21" s="112">
        <v>35652818</v>
      </c>
      <c r="I21" s="112">
        <v>1320060</v>
      </c>
      <c r="J21" s="112">
        <v>5742</v>
      </c>
      <c r="K21" s="112">
        <v>15981</v>
      </c>
      <c r="L21" s="112">
        <v>3155463</v>
      </c>
      <c r="M21" s="112">
        <v>11015</v>
      </c>
      <c r="N21" s="112">
        <v>31165851</v>
      </c>
      <c r="O21" s="112">
        <v>8547</v>
      </c>
      <c r="P21" s="112">
        <v>31174398</v>
      </c>
    </row>
    <row r="22" spans="1:16" x14ac:dyDescent="0.2">
      <c r="A22" s="1">
        <v>74000</v>
      </c>
      <c r="B22" s="112" t="s">
        <v>49</v>
      </c>
      <c r="C22" s="112">
        <v>33462</v>
      </c>
      <c r="D22" s="112">
        <v>2472652825</v>
      </c>
      <c r="E22" s="112">
        <v>16189658</v>
      </c>
      <c r="F22" s="112">
        <v>246209577</v>
      </c>
      <c r="G22" s="112">
        <v>2242632906</v>
      </c>
      <c r="H22" s="112">
        <v>81775158</v>
      </c>
      <c r="I22" s="112">
        <v>3833372</v>
      </c>
      <c r="J22" s="112">
        <v>2467</v>
      </c>
      <c r="K22" s="112">
        <v>19335</v>
      </c>
      <c r="L22" s="112">
        <v>3675062</v>
      </c>
      <c r="M22" s="112">
        <v>14554</v>
      </c>
      <c r="N22" s="112">
        <v>74261649</v>
      </c>
      <c r="O22" s="112">
        <v>11006</v>
      </c>
      <c r="P22" s="112">
        <v>74272655</v>
      </c>
    </row>
    <row r="23" spans="1:16" x14ac:dyDescent="0.2">
      <c r="A23" s="1">
        <v>75000</v>
      </c>
      <c r="B23" s="112" t="s">
        <v>50</v>
      </c>
      <c r="C23" s="112">
        <v>2567</v>
      </c>
      <c r="D23" s="112">
        <v>211106402</v>
      </c>
      <c r="E23" s="112">
        <v>851112</v>
      </c>
      <c r="F23" s="112">
        <v>20726548</v>
      </c>
      <c r="G23" s="112">
        <v>191230966</v>
      </c>
      <c r="H23" s="112">
        <v>7681196</v>
      </c>
      <c r="I23" s="112">
        <v>386361</v>
      </c>
      <c r="J23" s="112">
        <v>0</v>
      </c>
      <c r="K23" s="112">
        <v>1565</v>
      </c>
      <c r="L23" s="112">
        <v>263728</v>
      </c>
      <c r="M23" s="112">
        <v>2835</v>
      </c>
      <c r="N23" s="112">
        <v>7022851</v>
      </c>
      <c r="O23" s="112">
        <v>601</v>
      </c>
      <c r="P23" s="112">
        <v>7023452</v>
      </c>
    </row>
    <row r="24" spans="1:16" x14ac:dyDescent="0.2">
      <c r="A24" s="1">
        <v>96000</v>
      </c>
      <c r="B24" s="112" t="s">
        <v>51</v>
      </c>
      <c r="C24" s="112">
        <v>59846</v>
      </c>
      <c r="D24" s="112">
        <v>5578314883</v>
      </c>
      <c r="E24" s="112">
        <v>27142280</v>
      </c>
      <c r="F24" s="112">
        <v>477379864</v>
      </c>
      <c r="G24" s="112">
        <v>5128077299</v>
      </c>
      <c r="H24" s="112">
        <v>209216332</v>
      </c>
      <c r="I24" s="112">
        <v>9782668</v>
      </c>
      <c r="J24" s="112">
        <v>4072</v>
      </c>
      <c r="K24" s="112">
        <v>37187</v>
      </c>
      <c r="L24" s="112">
        <v>5142845</v>
      </c>
      <c r="M24" s="112">
        <v>15686</v>
      </c>
      <c r="N24" s="112">
        <v>194270849</v>
      </c>
      <c r="O24" s="112">
        <v>21964</v>
      </c>
      <c r="P24" s="112">
        <v>194292813</v>
      </c>
    </row>
    <row r="25" spans="1:16" x14ac:dyDescent="0.2">
      <c r="A25" s="1">
        <v>100000</v>
      </c>
      <c r="B25" s="112" t="s">
        <v>52</v>
      </c>
      <c r="C25" s="112">
        <v>11185</v>
      </c>
      <c r="D25" s="112">
        <v>1172103594</v>
      </c>
      <c r="E25" s="112">
        <v>6450788</v>
      </c>
      <c r="F25" s="112">
        <v>82714760</v>
      </c>
      <c r="G25" s="112">
        <v>1095839622</v>
      </c>
      <c r="H25" s="112">
        <v>47536866</v>
      </c>
      <c r="I25" s="112">
        <v>2399067</v>
      </c>
      <c r="J25" s="112">
        <v>0</v>
      </c>
      <c r="K25" s="112">
        <v>7025</v>
      </c>
      <c r="L25" s="112">
        <v>769815</v>
      </c>
      <c r="M25" s="112">
        <v>1531</v>
      </c>
      <c r="N25" s="112">
        <v>44423829</v>
      </c>
      <c r="O25" s="112">
        <v>3815</v>
      </c>
      <c r="P25" s="112">
        <v>44427644</v>
      </c>
    </row>
    <row r="26" spans="1:16" x14ac:dyDescent="0.2">
      <c r="A26" s="1">
        <v>150000</v>
      </c>
      <c r="B26" s="112" t="s">
        <v>53</v>
      </c>
      <c r="C26" s="112">
        <v>123526</v>
      </c>
      <c r="D26" s="112">
        <v>15864857794</v>
      </c>
      <c r="E26" s="112">
        <v>76968792</v>
      </c>
      <c r="F26" s="112">
        <v>710590001</v>
      </c>
      <c r="G26" s="112">
        <v>15231236585</v>
      </c>
      <c r="H26" s="112">
        <v>751484719</v>
      </c>
      <c r="I26" s="112">
        <v>41964453</v>
      </c>
      <c r="J26" s="112">
        <v>1124</v>
      </c>
      <c r="K26" s="112">
        <v>50782</v>
      </c>
      <c r="L26" s="112">
        <v>2658908</v>
      </c>
      <c r="M26" s="112">
        <v>86053</v>
      </c>
      <c r="N26" s="112">
        <v>706744974</v>
      </c>
      <c r="O26" s="112">
        <v>36392</v>
      </c>
      <c r="P26" s="112">
        <v>706781366</v>
      </c>
    </row>
    <row r="27" spans="1:16" x14ac:dyDescent="0.2">
      <c r="A27" s="1">
        <v>200000</v>
      </c>
      <c r="B27" s="112" t="s">
        <v>54</v>
      </c>
      <c r="C27" s="112">
        <v>72493</v>
      </c>
      <c r="D27" s="112">
        <v>12795935754</v>
      </c>
      <c r="E27" s="112">
        <v>75473252</v>
      </c>
      <c r="F27" s="112">
        <v>351648334</v>
      </c>
      <c r="G27" s="112">
        <v>12519760672</v>
      </c>
      <c r="H27" s="112">
        <v>652337630</v>
      </c>
      <c r="I27" s="112">
        <v>47108040</v>
      </c>
      <c r="J27" s="112">
        <v>12834</v>
      </c>
      <c r="K27" s="112">
        <v>0</v>
      </c>
      <c r="L27" s="112">
        <v>0</v>
      </c>
      <c r="M27" s="112">
        <v>88142</v>
      </c>
      <c r="N27" s="112">
        <v>605110571</v>
      </c>
      <c r="O27" s="112">
        <v>37098</v>
      </c>
      <c r="P27" s="112">
        <v>605147669</v>
      </c>
    </row>
    <row r="28" spans="1:16" x14ac:dyDescent="0.2">
      <c r="A28" s="1">
        <v>250000</v>
      </c>
      <c r="B28" s="112" t="s">
        <v>55</v>
      </c>
      <c r="C28" s="112">
        <v>39113</v>
      </c>
      <c r="D28" s="112">
        <v>8835048769</v>
      </c>
      <c r="E28" s="112">
        <v>64630935</v>
      </c>
      <c r="F28" s="112">
        <v>195203319</v>
      </c>
      <c r="G28" s="112">
        <v>8704476385</v>
      </c>
      <c r="H28" s="112">
        <v>463609954</v>
      </c>
      <c r="I28" s="112">
        <v>47318686</v>
      </c>
      <c r="J28" s="112">
        <v>11038</v>
      </c>
      <c r="K28" s="112">
        <v>0</v>
      </c>
      <c r="L28" s="112">
        <v>0</v>
      </c>
      <c r="M28" s="112">
        <v>93469</v>
      </c>
      <c r="N28" s="112">
        <v>416236979</v>
      </c>
      <c r="O28" s="112">
        <v>39794</v>
      </c>
      <c r="P28" s="112">
        <v>416276773</v>
      </c>
    </row>
    <row r="29" spans="1:16" x14ac:dyDescent="0.2">
      <c r="A29" s="1">
        <v>350000</v>
      </c>
      <c r="B29" s="112" t="s">
        <v>56</v>
      </c>
      <c r="C29" s="112">
        <v>35554</v>
      </c>
      <c r="D29" s="112">
        <v>10502534376</v>
      </c>
      <c r="E29" s="112">
        <v>106029953</v>
      </c>
      <c r="F29" s="112">
        <v>214975846</v>
      </c>
      <c r="G29" s="112">
        <v>10393588483</v>
      </c>
      <c r="H29" s="112">
        <v>570293027</v>
      </c>
      <c r="I29" s="112">
        <v>81445660</v>
      </c>
      <c r="J29" s="112">
        <v>73350</v>
      </c>
      <c r="K29" s="112">
        <v>0</v>
      </c>
      <c r="L29" s="112">
        <v>0</v>
      </c>
      <c r="M29" s="112">
        <v>219703</v>
      </c>
      <c r="N29" s="112">
        <v>488768239</v>
      </c>
      <c r="O29" s="112">
        <v>38244</v>
      </c>
      <c r="P29" s="112">
        <v>488806483</v>
      </c>
    </row>
    <row r="30" spans="1:16" x14ac:dyDescent="0.2">
      <c r="A30" s="1">
        <v>500000</v>
      </c>
      <c r="B30" s="112" t="s">
        <v>57</v>
      </c>
      <c r="C30" s="112">
        <v>20678</v>
      </c>
      <c r="D30" s="112">
        <v>8559690954</v>
      </c>
      <c r="E30" s="112">
        <v>133377600</v>
      </c>
      <c r="F30" s="112">
        <v>150417933</v>
      </c>
      <c r="G30" s="112">
        <v>8542650621</v>
      </c>
      <c r="H30" s="112">
        <v>494470186</v>
      </c>
      <c r="I30" s="112">
        <v>96374991</v>
      </c>
      <c r="J30" s="112">
        <v>160547</v>
      </c>
      <c r="K30" s="112">
        <v>0</v>
      </c>
      <c r="L30" s="112">
        <v>0</v>
      </c>
      <c r="M30" s="112">
        <v>426775</v>
      </c>
      <c r="N30" s="112">
        <v>397835488</v>
      </c>
      <c r="O30" s="112">
        <v>38613</v>
      </c>
      <c r="P30" s="112">
        <v>397874101</v>
      </c>
    </row>
    <row r="31" spans="1:16" x14ac:dyDescent="0.2">
      <c r="A31" s="1">
        <v>1000000</v>
      </c>
      <c r="B31" s="112" t="s">
        <v>58</v>
      </c>
      <c r="C31" s="112">
        <v>18520</v>
      </c>
      <c r="D31" s="112">
        <v>12536931456</v>
      </c>
      <c r="E31" s="112">
        <v>246069876</v>
      </c>
      <c r="F31" s="112">
        <v>180884008</v>
      </c>
      <c r="G31" s="112">
        <v>12602117324</v>
      </c>
      <c r="H31" s="112">
        <v>845599333</v>
      </c>
      <c r="I31" s="112">
        <v>209118578</v>
      </c>
      <c r="J31" s="112">
        <v>240010</v>
      </c>
      <c r="K31" s="112">
        <v>0</v>
      </c>
      <c r="L31" s="112">
        <v>0</v>
      </c>
      <c r="M31" s="112">
        <v>759355</v>
      </c>
      <c r="N31" s="112">
        <v>636125336</v>
      </c>
      <c r="O31" s="112">
        <v>54859</v>
      </c>
      <c r="P31" s="112">
        <v>636180195</v>
      </c>
    </row>
    <row r="32" spans="1:16" x14ac:dyDescent="0.2">
      <c r="A32" s="1">
        <v>2000000</v>
      </c>
      <c r="B32" s="112" t="s">
        <v>59</v>
      </c>
      <c r="C32" s="112">
        <v>6526</v>
      </c>
      <c r="D32" s="112">
        <v>8799922227</v>
      </c>
      <c r="E32" s="112">
        <v>228164657</v>
      </c>
      <c r="F32" s="112">
        <v>117699820</v>
      </c>
      <c r="G32" s="112">
        <v>8910387064</v>
      </c>
      <c r="H32" s="112">
        <v>621686744</v>
      </c>
      <c r="I32" s="112">
        <v>196023490</v>
      </c>
      <c r="J32" s="112">
        <v>5590</v>
      </c>
      <c r="K32" s="112">
        <v>0</v>
      </c>
      <c r="L32" s="112">
        <v>0</v>
      </c>
      <c r="M32" s="112">
        <v>689405</v>
      </c>
      <c r="N32" s="112">
        <v>425025425</v>
      </c>
      <c r="O32" s="112">
        <v>587866</v>
      </c>
      <c r="P32" s="112">
        <v>425613291</v>
      </c>
    </row>
    <row r="33" spans="1:16" x14ac:dyDescent="0.2">
      <c r="A33" s="1">
        <v>2000001</v>
      </c>
      <c r="B33" s="112" t="s">
        <v>60</v>
      </c>
      <c r="C33" s="112">
        <v>4530</v>
      </c>
      <c r="D33" s="112">
        <v>32186760716</v>
      </c>
      <c r="E33" s="112">
        <v>808967871</v>
      </c>
      <c r="F33" s="112">
        <v>468128331</v>
      </c>
      <c r="G33" s="112">
        <v>32527600256</v>
      </c>
      <c r="H33" s="112">
        <v>2273226258</v>
      </c>
      <c r="I33" s="112">
        <v>592317997</v>
      </c>
      <c r="J33" s="112">
        <v>229263</v>
      </c>
      <c r="K33" s="112">
        <v>0</v>
      </c>
      <c r="L33" s="112">
        <v>0</v>
      </c>
      <c r="M33" s="112">
        <v>1601604</v>
      </c>
      <c r="N33" s="112">
        <v>1679256178</v>
      </c>
      <c r="O33" s="112">
        <v>1692255</v>
      </c>
      <c r="P33" s="112">
        <v>1680948433</v>
      </c>
    </row>
    <row r="34" spans="1:16" s="113" customFormat="1" x14ac:dyDescent="0.2">
      <c r="A34" s="4"/>
      <c r="B34" s="113" t="s">
        <v>61</v>
      </c>
      <c r="C34" s="113">
        <v>580667</v>
      </c>
      <c r="D34" s="113">
        <v>126049804625</v>
      </c>
      <c r="E34" s="113">
        <v>1824178285</v>
      </c>
      <c r="F34" s="113">
        <v>4810088259</v>
      </c>
      <c r="G34" s="113">
        <v>123063894652</v>
      </c>
      <c r="H34" s="113">
        <v>7077822943</v>
      </c>
      <c r="I34" s="113">
        <v>1330046107</v>
      </c>
      <c r="J34" s="113">
        <v>803280</v>
      </c>
      <c r="K34" s="113">
        <v>206156</v>
      </c>
      <c r="L34" s="113">
        <v>30291459</v>
      </c>
      <c r="M34" s="113">
        <v>4013006</v>
      </c>
      <c r="N34" s="113">
        <v>5721690720</v>
      </c>
      <c r="O34" s="113">
        <v>2596353</v>
      </c>
      <c r="P34" s="113">
        <v>5724287073</v>
      </c>
    </row>
    <row r="36" spans="1:16" x14ac:dyDescent="0.2">
      <c r="C36" s="119"/>
      <c r="D36" s="119"/>
      <c r="E36" s="119"/>
      <c r="F36" s="119"/>
      <c r="G36" s="119"/>
      <c r="H36" s="119"/>
      <c r="I36" s="119"/>
      <c r="J36" s="119"/>
      <c r="K36" s="119"/>
      <c r="L36" s="119"/>
      <c r="M36" s="119"/>
      <c r="N36" s="119"/>
      <c r="O36" s="119"/>
      <c r="P36" s="119"/>
    </row>
  </sheetData>
  <pageMargins left="0.75" right="0.75" top="1" bottom="1" header="0.5" footer="0.5"/>
  <pageSetup scale="4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64B3-FFC1-439F-93D4-18191B033FF9}">
  <sheetPr>
    <tabColor theme="7"/>
    <pageSetUpPr fitToPage="1"/>
  </sheetPr>
  <dimension ref="A1:AC36"/>
  <sheetViews>
    <sheetView workbookViewId="0"/>
  </sheetViews>
  <sheetFormatPr defaultColWidth="9.140625" defaultRowHeight="12.75" x14ac:dyDescent="0.2"/>
  <cols>
    <col min="1" max="1" width="22.7109375" style="1" customWidth="1"/>
    <col min="2" max="2" width="25.7109375" style="112" bestFit="1" customWidth="1"/>
    <col min="3" max="3" width="14.7109375" style="112" customWidth="1"/>
    <col min="4" max="4" width="18" style="112" bestFit="1" customWidth="1"/>
    <col min="5" max="5" width="19" style="112" customWidth="1"/>
    <col min="6" max="6" width="21.7109375" style="112" customWidth="1"/>
    <col min="7" max="7" width="15" style="112" customWidth="1"/>
    <col min="8" max="8" width="14.7109375" style="112" customWidth="1"/>
    <col min="9" max="9" width="19.7109375" style="112" customWidth="1"/>
    <col min="10" max="10" width="16.7109375" style="112" customWidth="1"/>
    <col min="11" max="11" width="14.28515625" style="112" customWidth="1"/>
    <col min="12" max="12" width="19.7109375" style="112" customWidth="1"/>
    <col min="13" max="13" width="24.140625" style="112" customWidth="1"/>
    <col min="14" max="14" width="14" style="112" customWidth="1"/>
    <col min="15" max="15" width="13.140625" style="112" customWidth="1"/>
    <col min="16" max="16" width="16.28515625" style="112" bestFit="1" customWidth="1"/>
    <col min="17" max="16384" width="9.140625" style="112"/>
  </cols>
  <sheetData>
    <row r="1" spans="1:29" ht="89.25" x14ac:dyDescent="0.2">
      <c r="A1" s="98" t="s">
        <v>603</v>
      </c>
      <c r="B1" s="112" t="s">
        <v>63</v>
      </c>
      <c r="C1" s="118" t="s">
        <v>660</v>
      </c>
    </row>
    <row r="2" spans="1:29" x14ac:dyDescent="0.2">
      <c r="M2" s="117" t="s">
        <v>3</v>
      </c>
    </row>
    <row r="3" spans="1:29" s="117" customFormat="1" ht="11.25" x14ac:dyDescent="0.15">
      <c r="A3" s="2"/>
      <c r="C3" s="117" t="s">
        <v>4</v>
      </c>
      <c r="D3" s="117" t="s">
        <v>5</v>
      </c>
      <c r="E3" s="117" t="s">
        <v>6</v>
      </c>
      <c r="F3" s="117" t="s">
        <v>7</v>
      </c>
      <c r="G3" s="117" t="s">
        <v>8</v>
      </c>
      <c r="H3" s="117" t="s">
        <v>9</v>
      </c>
      <c r="I3" s="120" t="s">
        <v>10</v>
      </c>
      <c r="J3" s="120" t="s">
        <v>11</v>
      </c>
      <c r="K3" s="117" t="s">
        <v>12</v>
      </c>
      <c r="L3" s="120" t="s">
        <v>13</v>
      </c>
      <c r="M3" s="117" t="s">
        <v>14</v>
      </c>
      <c r="N3" s="117" t="s">
        <v>15</v>
      </c>
      <c r="O3" s="117" t="s">
        <v>16</v>
      </c>
      <c r="P3" s="117" t="s">
        <v>17</v>
      </c>
    </row>
    <row r="4" spans="1:29" s="114" customFormat="1" ht="11.25" x14ac:dyDescent="0.15">
      <c r="A4" s="3"/>
      <c r="B4" s="116" t="s">
        <v>18</v>
      </c>
      <c r="C4" s="116"/>
      <c r="D4" s="116" t="s">
        <v>19</v>
      </c>
      <c r="E4" s="116" t="s">
        <v>20</v>
      </c>
      <c r="F4" s="116" t="s">
        <v>21</v>
      </c>
      <c r="G4" s="116" t="s">
        <v>22</v>
      </c>
      <c r="H4" s="116" t="s">
        <v>23</v>
      </c>
      <c r="I4" s="116" t="s">
        <v>24</v>
      </c>
      <c r="J4" s="116" t="s">
        <v>25</v>
      </c>
      <c r="K4" s="116" t="s">
        <v>26</v>
      </c>
      <c r="L4" s="116" t="s">
        <v>27</v>
      </c>
      <c r="M4" s="116" t="s">
        <v>28</v>
      </c>
      <c r="N4" s="116" t="s">
        <v>29</v>
      </c>
      <c r="O4" s="116" t="s">
        <v>30</v>
      </c>
      <c r="P4" s="116" t="s">
        <v>31</v>
      </c>
      <c r="Q4" s="115"/>
      <c r="R4" s="115"/>
      <c r="S4" s="115"/>
      <c r="T4" s="115"/>
      <c r="U4" s="115"/>
      <c r="V4" s="115"/>
      <c r="W4" s="115"/>
      <c r="X4" s="115"/>
      <c r="Y4" s="115"/>
      <c r="Z4" s="115"/>
      <c r="AA4" s="115"/>
      <c r="AB4" s="115"/>
      <c r="AC4" s="115"/>
    </row>
    <row r="5" spans="1:29" x14ac:dyDescent="0.2">
      <c r="A5" s="1">
        <v>5000</v>
      </c>
      <c r="B5" s="112" t="s">
        <v>32</v>
      </c>
      <c r="C5" s="112">
        <v>1971</v>
      </c>
      <c r="D5" s="112">
        <v>10834996</v>
      </c>
      <c r="E5" s="112">
        <v>38232</v>
      </c>
      <c r="F5" s="112">
        <v>7709233</v>
      </c>
      <c r="G5" s="112">
        <v>3163995</v>
      </c>
      <c r="H5" s="112">
        <v>2816</v>
      </c>
      <c r="I5" s="112">
        <v>138</v>
      </c>
      <c r="J5" s="112">
        <v>0</v>
      </c>
      <c r="K5" s="112">
        <v>210</v>
      </c>
      <c r="L5" s="112">
        <v>39954</v>
      </c>
      <c r="M5" s="112">
        <v>0</v>
      </c>
      <c r="N5" s="112">
        <v>2816</v>
      </c>
      <c r="O5" s="112">
        <v>165</v>
      </c>
      <c r="P5" s="112">
        <v>2981</v>
      </c>
    </row>
    <row r="6" spans="1:29" x14ac:dyDescent="0.2">
      <c r="A6" s="1">
        <v>10000</v>
      </c>
      <c r="B6" s="112" t="s">
        <v>33</v>
      </c>
      <c r="C6" s="112">
        <v>1470</v>
      </c>
      <c r="D6" s="112">
        <v>16725803</v>
      </c>
      <c r="E6" s="112">
        <v>106462</v>
      </c>
      <c r="F6" s="112">
        <v>5664194</v>
      </c>
      <c r="G6" s="112">
        <v>11168071</v>
      </c>
      <c r="H6" s="112">
        <v>0</v>
      </c>
      <c r="I6" s="112">
        <v>0</v>
      </c>
      <c r="J6" s="112">
        <v>0</v>
      </c>
      <c r="K6" s="112">
        <v>209</v>
      </c>
      <c r="L6" s="112">
        <v>39741</v>
      </c>
      <c r="M6" s="112">
        <v>0</v>
      </c>
      <c r="N6" s="112">
        <v>0</v>
      </c>
      <c r="O6" s="112">
        <v>108</v>
      </c>
      <c r="P6" s="112">
        <v>108</v>
      </c>
    </row>
    <row r="7" spans="1:29" x14ac:dyDescent="0.2">
      <c r="A7" s="1">
        <v>12000</v>
      </c>
      <c r="B7" s="112" t="s">
        <v>34</v>
      </c>
      <c r="C7" s="112">
        <v>631</v>
      </c>
      <c r="D7" s="112">
        <v>9117013</v>
      </c>
      <c r="E7" s="112">
        <v>30913</v>
      </c>
      <c r="F7" s="112">
        <v>2185915</v>
      </c>
      <c r="G7" s="112">
        <v>6962011</v>
      </c>
      <c r="H7" s="112">
        <v>0</v>
      </c>
      <c r="I7" s="112">
        <v>0</v>
      </c>
      <c r="J7" s="112">
        <v>0</v>
      </c>
      <c r="K7" s="112">
        <v>92</v>
      </c>
      <c r="L7" s="112">
        <v>18022</v>
      </c>
      <c r="M7" s="112">
        <v>0</v>
      </c>
      <c r="N7" s="112">
        <v>0</v>
      </c>
      <c r="O7" s="112">
        <v>0</v>
      </c>
      <c r="P7" s="112">
        <v>0</v>
      </c>
    </row>
    <row r="8" spans="1:29" x14ac:dyDescent="0.2">
      <c r="A8" s="1">
        <v>15000</v>
      </c>
      <c r="B8" s="112" t="s">
        <v>35</v>
      </c>
      <c r="C8" s="112">
        <v>1078</v>
      </c>
      <c r="D8" s="112">
        <v>18348167</v>
      </c>
      <c r="E8" s="112">
        <v>159283</v>
      </c>
      <c r="F8" s="112">
        <v>3946112</v>
      </c>
      <c r="G8" s="112">
        <v>14561338</v>
      </c>
      <c r="H8" s="112">
        <v>14040</v>
      </c>
      <c r="I8" s="112">
        <v>218</v>
      </c>
      <c r="J8" s="112">
        <v>0</v>
      </c>
      <c r="K8" s="112">
        <v>209</v>
      </c>
      <c r="L8" s="112">
        <v>39009</v>
      </c>
      <c r="M8" s="112">
        <v>0</v>
      </c>
      <c r="N8" s="112">
        <v>11599</v>
      </c>
      <c r="O8" s="112">
        <v>0</v>
      </c>
      <c r="P8" s="112">
        <v>11599</v>
      </c>
    </row>
    <row r="9" spans="1:29" x14ac:dyDescent="0.2">
      <c r="A9" s="1">
        <v>19000</v>
      </c>
      <c r="B9" s="112" t="s">
        <v>36</v>
      </c>
      <c r="C9" s="112">
        <v>1434</v>
      </c>
      <c r="D9" s="112">
        <v>30404207</v>
      </c>
      <c r="E9" s="112">
        <v>202735</v>
      </c>
      <c r="F9" s="112">
        <v>6245580</v>
      </c>
      <c r="G9" s="112">
        <v>24361362</v>
      </c>
      <c r="H9" s="112">
        <v>107007</v>
      </c>
      <c r="I9" s="112">
        <v>3125</v>
      </c>
      <c r="J9" s="112">
        <v>1</v>
      </c>
      <c r="K9" s="112">
        <v>312</v>
      </c>
      <c r="L9" s="112">
        <v>58469</v>
      </c>
      <c r="M9" s="112">
        <v>0</v>
      </c>
      <c r="N9" s="112">
        <v>81303</v>
      </c>
      <c r="O9" s="112">
        <v>116</v>
      </c>
      <c r="P9" s="112">
        <v>81419</v>
      </c>
    </row>
    <row r="10" spans="1:29" x14ac:dyDescent="0.2">
      <c r="A10" s="1">
        <v>20000</v>
      </c>
      <c r="B10" s="112" t="s">
        <v>37</v>
      </c>
      <c r="C10" s="112">
        <v>440</v>
      </c>
      <c r="D10" s="112">
        <v>10149152</v>
      </c>
      <c r="E10" s="112">
        <v>58927</v>
      </c>
      <c r="F10" s="112">
        <v>1617605</v>
      </c>
      <c r="G10" s="112">
        <v>8590474</v>
      </c>
      <c r="H10" s="112">
        <v>64625</v>
      </c>
      <c r="I10" s="112">
        <v>1416</v>
      </c>
      <c r="J10" s="112">
        <v>0</v>
      </c>
      <c r="K10" s="112">
        <v>85</v>
      </c>
      <c r="L10" s="112">
        <v>16054</v>
      </c>
      <c r="M10" s="112">
        <v>0</v>
      </c>
      <c r="N10" s="112">
        <v>51007</v>
      </c>
      <c r="O10" s="112">
        <v>0</v>
      </c>
      <c r="P10" s="112">
        <v>51007</v>
      </c>
    </row>
    <row r="11" spans="1:29" x14ac:dyDescent="0.2">
      <c r="A11" s="1">
        <v>24000</v>
      </c>
      <c r="B11" s="112" t="s">
        <v>38</v>
      </c>
      <c r="C11" s="112">
        <v>1743</v>
      </c>
      <c r="D11" s="112">
        <v>45146970</v>
      </c>
      <c r="E11" s="112">
        <v>194443</v>
      </c>
      <c r="F11" s="112">
        <v>6899437</v>
      </c>
      <c r="G11" s="112">
        <v>38441976</v>
      </c>
      <c r="H11" s="112">
        <v>446538</v>
      </c>
      <c r="I11" s="112">
        <v>13481</v>
      </c>
      <c r="J11" s="112">
        <v>0</v>
      </c>
      <c r="K11" s="112">
        <v>370</v>
      </c>
      <c r="L11" s="112">
        <v>71181</v>
      </c>
      <c r="M11" s="112">
        <v>109</v>
      </c>
      <c r="N11" s="112">
        <v>362871</v>
      </c>
      <c r="O11" s="112">
        <v>19</v>
      </c>
      <c r="P11" s="112">
        <v>362890</v>
      </c>
    </row>
    <row r="12" spans="1:29" x14ac:dyDescent="0.2">
      <c r="A12" s="1">
        <v>25000</v>
      </c>
      <c r="B12" s="112" t="s">
        <v>39</v>
      </c>
      <c r="C12" s="112">
        <v>432</v>
      </c>
      <c r="D12" s="112">
        <v>12363142</v>
      </c>
      <c r="E12" s="112">
        <v>55209</v>
      </c>
      <c r="F12" s="112">
        <v>1833761</v>
      </c>
      <c r="G12" s="112">
        <v>10584590</v>
      </c>
      <c r="H12" s="112">
        <v>174380</v>
      </c>
      <c r="I12" s="112">
        <v>3836</v>
      </c>
      <c r="J12" s="112">
        <v>0</v>
      </c>
      <c r="K12" s="112">
        <v>91</v>
      </c>
      <c r="L12" s="112">
        <v>17340</v>
      </c>
      <c r="M12" s="112">
        <v>0</v>
      </c>
      <c r="N12" s="112">
        <v>153205</v>
      </c>
      <c r="O12" s="112">
        <v>0</v>
      </c>
      <c r="P12" s="112">
        <v>153205</v>
      </c>
    </row>
    <row r="13" spans="1:29" x14ac:dyDescent="0.2">
      <c r="A13" s="1">
        <v>30000</v>
      </c>
      <c r="B13" s="112" t="s">
        <v>40</v>
      </c>
      <c r="C13" s="112">
        <v>2212</v>
      </c>
      <c r="D13" s="112">
        <v>69696654</v>
      </c>
      <c r="E13" s="112">
        <v>235917</v>
      </c>
      <c r="F13" s="112">
        <v>9008833</v>
      </c>
      <c r="G13" s="112">
        <v>60923738</v>
      </c>
      <c r="H13" s="112">
        <v>1538741</v>
      </c>
      <c r="I13" s="112">
        <v>52137</v>
      </c>
      <c r="J13" s="112">
        <v>0</v>
      </c>
      <c r="K13" s="112">
        <v>498</v>
      </c>
      <c r="L13" s="112">
        <v>95388</v>
      </c>
      <c r="M13" s="112">
        <v>0</v>
      </c>
      <c r="N13" s="112">
        <v>1391484</v>
      </c>
      <c r="O13" s="112">
        <v>66</v>
      </c>
      <c r="P13" s="112">
        <v>1391550</v>
      </c>
    </row>
    <row r="14" spans="1:29" x14ac:dyDescent="0.2">
      <c r="A14" s="1">
        <v>34000</v>
      </c>
      <c r="B14" s="112" t="s">
        <v>41</v>
      </c>
      <c r="C14" s="112">
        <v>1847</v>
      </c>
      <c r="D14" s="112">
        <v>65047689</v>
      </c>
      <c r="E14" s="112">
        <v>294192</v>
      </c>
      <c r="F14" s="112">
        <v>6213944</v>
      </c>
      <c r="G14" s="112">
        <v>59127937</v>
      </c>
      <c r="H14" s="112">
        <v>2038017</v>
      </c>
      <c r="I14" s="112">
        <v>81887</v>
      </c>
      <c r="J14" s="112">
        <v>223</v>
      </c>
      <c r="K14" s="112">
        <v>374</v>
      </c>
      <c r="L14" s="112">
        <v>71524</v>
      </c>
      <c r="M14" s="112">
        <v>0</v>
      </c>
      <c r="N14" s="112">
        <v>1884832</v>
      </c>
      <c r="O14" s="112">
        <v>133</v>
      </c>
      <c r="P14" s="112">
        <v>1884965</v>
      </c>
    </row>
    <row r="15" spans="1:29" x14ac:dyDescent="0.2">
      <c r="A15" s="1">
        <v>35000</v>
      </c>
      <c r="B15" s="112" t="s">
        <v>42</v>
      </c>
      <c r="C15" s="112">
        <v>436</v>
      </c>
      <c r="D15" s="112">
        <v>16427190</v>
      </c>
      <c r="E15" s="112">
        <v>52644</v>
      </c>
      <c r="F15" s="112">
        <v>1426776</v>
      </c>
      <c r="G15" s="112">
        <v>15053058</v>
      </c>
      <c r="H15" s="112">
        <v>579247</v>
      </c>
      <c r="I15" s="112">
        <v>17316</v>
      </c>
      <c r="J15" s="112">
        <v>0</v>
      </c>
      <c r="K15" s="112">
        <v>93</v>
      </c>
      <c r="L15" s="112">
        <v>17491</v>
      </c>
      <c r="M15" s="112">
        <v>0</v>
      </c>
      <c r="N15" s="112">
        <v>544440</v>
      </c>
      <c r="O15" s="112">
        <v>21</v>
      </c>
      <c r="P15" s="112">
        <v>544461</v>
      </c>
    </row>
    <row r="16" spans="1:29" x14ac:dyDescent="0.2">
      <c r="A16" s="1">
        <v>40000</v>
      </c>
      <c r="B16" s="112" t="s">
        <v>43</v>
      </c>
      <c r="C16" s="112">
        <v>2135</v>
      </c>
      <c r="D16" s="112">
        <v>86001790</v>
      </c>
      <c r="E16" s="112">
        <v>425485</v>
      </c>
      <c r="F16" s="112">
        <v>6369718</v>
      </c>
      <c r="G16" s="112">
        <v>80057557</v>
      </c>
      <c r="H16" s="112">
        <v>3218109</v>
      </c>
      <c r="I16" s="112">
        <v>132918</v>
      </c>
      <c r="J16" s="112">
        <v>0</v>
      </c>
      <c r="K16" s="112">
        <v>448</v>
      </c>
      <c r="L16" s="112">
        <v>73711</v>
      </c>
      <c r="M16" s="112">
        <v>0</v>
      </c>
      <c r="N16" s="112">
        <v>3012900</v>
      </c>
      <c r="O16" s="112">
        <v>1</v>
      </c>
      <c r="P16" s="112">
        <v>3012901</v>
      </c>
    </row>
    <row r="17" spans="1:16" x14ac:dyDescent="0.2">
      <c r="A17" s="1">
        <v>44000</v>
      </c>
      <c r="B17" s="112" t="s">
        <v>44</v>
      </c>
      <c r="C17" s="112">
        <v>1747</v>
      </c>
      <c r="D17" s="112">
        <v>77515563</v>
      </c>
      <c r="E17" s="112">
        <v>374728</v>
      </c>
      <c r="F17" s="112">
        <v>4515940</v>
      </c>
      <c r="G17" s="112">
        <v>73374351</v>
      </c>
      <c r="H17" s="112">
        <v>2987339</v>
      </c>
      <c r="I17" s="112">
        <v>151072</v>
      </c>
      <c r="J17" s="112">
        <v>0</v>
      </c>
      <c r="K17" s="112">
        <v>376</v>
      </c>
      <c r="L17" s="112">
        <v>50895</v>
      </c>
      <c r="M17" s="112">
        <v>0</v>
      </c>
      <c r="N17" s="112">
        <v>2785376</v>
      </c>
      <c r="O17" s="112">
        <v>0</v>
      </c>
      <c r="P17" s="112">
        <v>2785376</v>
      </c>
    </row>
    <row r="18" spans="1:16" x14ac:dyDescent="0.2">
      <c r="A18" s="1">
        <v>45000</v>
      </c>
      <c r="B18" s="112" t="s">
        <v>45</v>
      </c>
      <c r="C18" s="112">
        <v>418</v>
      </c>
      <c r="D18" s="112">
        <v>19442559</v>
      </c>
      <c r="E18" s="112">
        <v>13018</v>
      </c>
      <c r="F18" s="112">
        <v>861837</v>
      </c>
      <c r="G18" s="112">
        <v>18593740</v>
      </c>
      <c r="H18" s="112">
        <v>761442</v>
      </c>
      <c r="I18" s="112">
        <v>34254</v>
      </c>
      <c r="J18" s="112">
        <v>0</v>
      </c>
      <c r="K18" s="112">
        <v>89</v>
      </c>
      <c r="L18" s="112">
        <v>12079</v>
      </c>
      <c r="M18" s="112">
        <v>0</v>
      </c>
      <c r="N18" s="112">
        <v>715107</v>
      </c>
      <c r="O18" s="112">
        <v>0</v>
      </c>
      <c r="P18" s="112">
        <v>715107</v>
      </c>
    </row>
    <row r="19" spans="1:16" x14ac:dyDescent="0.2">
      <c r="A19" s="1">
        <v>48000</v>
      </c>
      <c r="B19" s="112" t="s">
        <v>46</v>
      </c>
      <c r="C19" s="112">
        <v>1319</v>
      </c>
      <c r="D19" s="112">
        <v>63754407</v>
      </c>
      <c r="E19" s="112">
        <v>271650</v>
      </c>
      <c r="F19" s="112">
        <v>2673964</v>
      </c>
      <c r="G19" s="112">
        <v>61352093</v>
      </c>
      <c r="H19" s="112">
        <v>2523371</v>
      </c>
      <c r="I19" s="112">
        <v>139130</v>
      </c>
      <c r="J19" s="112">
        <v>0</v>
      </c>
      <c r="K19" s="112">
        <v>294</v>
      </c>
      <c r="L19" s="112">
        <v>32204</v>
      </c>
      <c r="M19" s="112">
        <v>0</v>
      </c>
      <c r="N19" s="112">
        <v>2350392</v>
      </c>
      <c r="O19" s="112">
        <v>36</v>
      </c>
      <c r="P19" s="112">
        <v>2350428</v>
      </c>
    </row>
    <row r="20" spans="1:16" x14ac:dyDescent="0.2">
      <c r="A20" s="1">
        <v>50000</v>
      </c>
      <c r="B20" s="112" t="s">
        <v>47</v>
      </c>
      <c r="C20" s="112">
        <v>854</v>
      </c>
      <c r="D20" s="112">
        <v>43072335</v>
      </c>
      <c r="E20" s="112">
        <v>219923</v>
      </c>
      <c r="F20" s="112">
        <v>1458997</v>
      </c>
      <c r="G20" s="112">
        <v>41833261</v>
      </c>
      <c r="H20" s="112">
        <v>1776509</v>
      </c>
      <c r="I20" s="112">
        <v>94481</v>
      </c>
      <c r="J20" s="112">
        <v>0</v>
      </c>
      <c r="K20" s="112">
        <v>187</v>
      </c>
      <c r="L20" s="112">
        <v>20106</v>
      </c>
      <c r="M20" s="112">
        <v>0</v>
      </c>
      <c r="N20" s="112">
        <v>1659861</v>
      </c>
      <c r="O20" s="112">
        <v>489</v>
      </c>
      <c r="P20" s="112">
        <v>1660350</v>
      </c>
    </row>
    <row r="21" spans="1:16" x14ac:dyDescent="0.2">
      <c r="A21" s="1">
        <v>60000</v>
      </c>
      <c r="B21" s="112" t="s">
        <v>48</v>
      </c>
      <c r="C21" s="112">
        <v>3902</v>
      </c>
      <c r="D21" s="112">
        <v>218102470</v>
      </c>
      <c r="E21" s="112">
        <v>985292</v>
      </c>
      <c r="F21" s="112">
        <v>5432186</v>
      </c>
      <c r="G21" s="112">
        <v>213655576</v>
      </c>
      <c r="H21" s="112">
        <v>10096092</v>
      </c>
      <c r="I21" s="112">
        <v>594619</v>
      </c>
      <c r="J21" s="112">
        <v>1000</v>
      </c>
      <c r="K21" s="112">
        <v>889</v>
      </c>
      <c r="L21" s="112">
        <v>58506</v>
      </c>
      <c r="M21" s="112">
        <v>2509</v>
      </c>
      <c r="N21" s="112">
        <v>9441557</v>
      </c>
      <c r="O21" s="112">
        <v>589</v>
      </c>
      <c r="P21" s="112">
        <v>9442146</v>
      </c>
    </row>
    <row r="22" spans="1:16" x14ac:dyDescent="0.2">
      <c r="A22" s="1">
        <v>74000</v>
      </c>
      <c r="B22" s="112" t="s">
        <v>49</v>
      </c>
      <c r="C22" s="112">
        <v>4482</v>
      </c>
      <c r="D22" s="112">
        <v>304100483</v>
      </c>
      <c r="E22" s="112">
        <v>1134499</v>
      </c>
      <c r="F22" s="112">
        <v>6898876</v>
      </c>
      <c r="G22" s="112">
        <v>298336106</v>
      </c>
      <c r="H22" s="112">
        <v>15022115</v>
      </c>
      <c r="I22" s="112">
        <v>1023654</v>
      </c>
      <c r="J22" s="112">
        <v>0</v>
      </c>
      <c r="K22" s="112">
        <v>432</v>
      </c>
      <c r="L22" s="112">
        <v>8911</v>
      </c>
      <c r="M22" s="112">
        <v>0</v>
      </c>
      <c r="N22" s="112">
        <v>13989434</v>
      </c>
      <c r="O22" s="112">
        <v>560</v>
      </c>
      <c r="P22" s="112">
        <v>13989994</v>
      </c>
    </row>
    <row r="23" spans="1:16" x14ac:dyDescent="0.2">
      <c r="A23" s="1">
        <v>75000</v>
      </c>
      <c r="B23" s="112" t="s">
        <v>50</v>
      </c>
      <c r="C23" s="112">
        <v>277</v>
      </c>
      <c r="D23" s="112">
        <v>21017737</v>
      </c>
      <c r="E23" s="112">
        <v>72292</v>
      </c>
      <c r="F23" s="112">
        <v>450310</v>
      </c>
      <c r="G23" s="112">
        <v>20639719</v>
      </c>
      <c r="H23" s="112">
        <v>1065916</v>
      </c>
      <c r="I23" s="112">
        <v>74815</v>
      </c>
      <c r="J23" s="112">
        <v>0</v>
      </c>
      <c r="K23" s="112">
        <v>0</v>
      </c>
      <c r="L23" s="112">
        <v>0</v>
      </c>
      <c r="M23" s="112">
        <v>0</v>
      </c>
      <c r="N23" s="112">
        <v>991102</v>
      </c>
      <c r="O23" s="112">
        <v>0</v>
      </c>
      <c r="P23" s="112">
        <v>991102</v>
      </c>
    </row>
    <row r="24" spans="1:16" x14ac:dyDescent="0.2">
      <c r="A24" s="1">
        <v>96000</v>
      </c>
      <c r="B24" s="112" t="s">
        <v>51</v>
      </c>
      <c r="C24" s="112">
        <v>4561</v>
      </c>
      <c r="D24" s="112">
        <v>390102628</v>
      </c>
      <c r="E24" s="112">
        <v>1561494</v>
      </c>
      <c r="F24" s="112">
        <v>6757485</v>
      </c>
      <c r="G24" s="112">
        <v>384906637</v>
      </c>
      <c r="H24" s="112">
        <v>20029337</v>
      </c>
      <c r="I24" s="112">
        <v>1484735</v>
      </c>
      <c r="J24" s="112">
        <v>0</v>
      </c>
      <c r="K24" s="112">
        <v>0</v>
      </c>
      <c r="L24" s="112">
        <v>0</v>
      </c>
      <c r="M24" s="112">
        <v>5553</v>
      </c>
      <c r="N24" s="112">
        <v>18539911</v>
      </c>
      <c r="O24" s="112">
        <v>967</v>
      </c>
      <c r="P24" s="112">
        <v>18540878</v>
      </c>
    </row>
    <row r="25" spans="1:16" x14ac:dyDescent="0.2">
      <c r="A25" s="1">
        <v>100000</v>
      </c>
      <c r="B25" s="112" t="s">
        <v>52</v>
      </c>
      <c r="C25" s="112">
        <v>665</v>
      </c>
      <c r="D25" s="112">
        <v>66047828</v>
      </c>
      <c r="E25" s="112">
        <v>236391</v>
      </c>
      <c r="F25" s="112">
        <v>1121601</v>
      </c>
      <c r="G25" s="112">
        <v>65162618</v>
      </c>
      <c r="H25" s="112">
        <v>3417682</v>
      </c>
      <c r="I25" s="112">
        <v>282066</v>
      </c>
      <c r="J25" s="112">
        <v>0</v>
      </c>
      <c r="K25" s="112">
        <v>0</v>
      </c>
      <c r="L25" s="112">
        <v>0</v>
      </c>
      <c r="M25" s="112">
        <v>0</v>
      </c>
      <c r="N25" s="112">
        <v>3140799</v>
      </c>
      <c r="O25" s="112">
        <v>0</v>
      </c>
      <c r="P25" s="112">
        <v>3140799</v>
      </c>
    </row>
    <row r="26" spans="1:16" x14ac:dyDescent="0.2">
      <c r="A26" s="1">
        <v>150000</v>
      </c>
      <c r="B26" s="112" t="s">
        <v>53</v>
      </c>
      <c r="C26" s="112">
        <v>4368</v>
      </c>
      <c r="D26" s="112">
        <v>530571770</v>
      </c>
      <c r="E26" s="112">
        <v>3168745</v>
      </c>
      <c r="F26" s="112">
        <v>8020456</v>
      </c>
      <c r="G26" s="112">
        <v>525720059</v>
      </c>
      <c r="H26" s="112">
        <v>28268130</v>
      </c>
      <c r="I26" s="112">
        <v>3308499</v>
      </c>
      <c r="J26" s="112">
        <v>0</v>
      </c>
      <c r="K26" s="112">
        <v>0</v>
      </c>
      <c r="L26" s="112">
        <v>0</v>
      </c>
      <c r="M26" s="112">
        <v>13551</v>
      </c>
      <c r="N26" s="112">
        <v>24918393</v>
      </c>
      <c r="O26" s="112">
        <v>1181</v>
      </c>
      <c r="P26" s="112">
        <v>24919574</v>
      </c>
    </row>
    <row r="27" spans="1:16" x14ac:dyDescent="0.2">
      <c r="A27" s="1">
        <v>200000</v>
      </c>
      <c r="B27" s="112" t="s">
        <v>54</v>
      </c>
      <c r="C27" s="112">
        <v>1362</v>
      </c>
      <c r="D27" s="112">
        <v>233780955</v>
      </c>
      <c r="E27" s="112">
        <v>1805213</v>
      </c>
      <c r="F27" s="112">
        <v>3615884</v>
      </c>
      <c r="G27" s="112">
        <v>231970284</v>
      </c>
      <c r="H27" s="112">
        <v>12897006</v>
      </c>
      <c r="I27" s="112">
        <v>2038560</v>
      </c>
      <c r="J27" s="112">
        <v>0</v>
      </c>
      <c r="K27" s="112">
        <v>0</v>
      </c>
      <c r="L27" s="112">
        <v>0</v>
      </c>
      <c r="M27" s="112">
        <v>0</v>
      </c>
      <c r="N27" s="112">
        <v>10850827</v>
      </c>
      <c r="O27" s="112">
        <v>41</v>
      </c>
      <c r="P27" s="112">
        <v>10850868</v>
      </c>
    </row>
    <row r="28" spans="1:16" x14ac:dyDescent="0.2">
      <c r="A28" s="1">
        <v>250000</v>
      </c>
      <c r="B28" s="112" t="s">
        <v>55</v>
      </c>
      <c r="C28" s="112">
        <v>462</v>
      </c>
      <c r="D28" s="112">
        <v>102443080</v>
      </c>
      <c r="E28" s="112">
        <v>1535143</v>
      </c>
      <c r="F28" s="112">
        <v>1488775</v>
      </c>
      <c r="G28" s="112">
        <v>102489448</v>
      </c>
      <c r="H28" s="112">
        <v>6056583</v>
      </c>
      <c r="I28" s="112">
        <v>964092</v>
      </c>
      <c r="J28" s="112">
        <v>0</v>
      </c>
      <c r="K28" s="112">
        <v>0</v>
      </c>
      <c r="L28" s="112">
        <v>0</v>
      </c>
      <c r="M28" s="112">
        <v>0</v>
      </c>
      <c r="N28" s="112">
        <v>5084447</v>
      </c>
      <c r="O28" s="112">
        <v>1905</v>
      </c>
      <c r="P28" s="112">
        <v>5086352</v>
      </c>
    </row>
    <row r="29" spans="1:16" x14ac:dyDescent="0.2">
      <c r="A29" s="1">
        <v>350000</v>
      </c>
      <c r="B29" s="112" t="s">
        <v>56</v>
      </c>
      <c r="C29" s="112">
        <v>436</v>
      </c>
      <c r="D29" s="112">
        <v>130625667</v>
      </c>
      <c r="E29" s="112">
        <v>1974872</v>
      </c>
      <c r="F29" s="112">
        <v>4900311</v>
      </c>
      <c r="G29" s="112">
        <v>127700228</v>
      </c>
      <c r="H29" s="112">
        <v>8360994</v>
      </c>
      <c r="I29" s="112">
        <v>1644307</v>
      </c>
      <c r="J29" s="112">
        <v>0</v>
      </c>
      <c r="K29" s="112">
        <v>0</v>
      </c>
      <c r="L29" s="112">
        <v>0</v>
      </c>
      <c r="M29" s="112">
        <v>0</v>
      </c>
      <c r="N29" s="112">
        <v>6703998</v>
      </c>
      <c r="O29" s="112">
        <v>182</v>
      </c>
      <c r="P29" s="112">
        <v>6704180</v>
      </c>
    </row>
    <row r="30" spans="1:16" x14ac:dyDescent="0.2">
      <c r="A30" s="1">
        <v>500000</v>
      </c>
      <c r="B30" s="112" t="s">
        <v>57</v>
      </c>
      <c r="C30" s="112">
        <v>243</v>
      </c>
      <c r="D30" s="112">
        <v>100170085</v>
      </c>
      <c r="E30" s="112">
        <v>2868182</v>
      </c>
      <c r="F30" s="112">
        <v>1889678</v>
      </c>
      <c r="G30" s="112">
        <v>101148589</v>
      </c>
      <c r="H30" s="112">
        <v>6967091</v>
      </c>
      <c r="I30" s="112">
        <v>1205203</v>
      </c>
      <c r="J30" s="112">
        <v>0</v>
      </c>
      <c r="K30" s="112">
        <v>0</v>
      </c>
      <c r="L30" s="112">
        <v>0</v>
      </c>
      <c r="M30" s="112">
        <v>30922</v>
      </c>
      <c r="N30" s="112">
        <v>5728739</v>
      </c>
      <c r="O30" s="112">
        <v>0</v>
      </c>
      <c r="P30" s="112">
        <v>5728739</v>
      </c>
    </row>
    <row r="31" spans="1:16" x14ac:dyDescent="0.2">
      <c r="A31" s="1">
        <v>1000000</v>
      </c>
      <c r="B31" s="112" t="s">
        <v>58</v>
      </c>
      <c r="C31" s="112">
        <v>236</v>
      </c>
      <c r="D31" s="112">
        <v>158942402</v>
      </c>
      <c r="E31" s="112">
        <v>5268739</v>
      </c>
      <c r="F31" s="112">
        <v>2984765</v>
      </c>
      <c r="G31" s="112">
        <v>161226376</v>
      </c>
      <c r="H31" s="112">
        <v>11247519</v>
      </c>
      <c r="I31" s="112">
        <v>2529395</v>
      </c>
      <c r="J31" s="112">
        <v>0</v>
      </c>
      <c r="K31" s="112">
        <v>0</v>
      </c>
      <c r="L31" s="112">
        <v>0</v>
      </c>
      <c r="M31" s="112">
        <v>34550</v>
      </c>
      <c r="N31" s="112">
        <v>8690989</v>
      </c>
      <c r="O31" s="112">
        <v>91</v>
      </c>
      <c r="P31" s="112">
        <v>8691080</v>
      </c>
    </row>
    <row r="32" spans="1:16" x14ac:dyDescent="0.2">
      <c r="A32" s="1">
        <v>2000000</v>
      </c>
      <c r="B32" s="112" t="s">
        <v>59</v>
      </c>
      <c r="C32" s="112">
        <v>113</v>
      </c>
      <c r="D32" s="112">
        <v>148250997</v>
      </c>
      <c r="E32" s="112">
        <v>8734683</v>
      </c>
      <c r="F32" s="112">
        <v>1696901</v>
      </c>
      <c r="G32" s="112">
        <v>155288779</v>
      </c>
      <c r="H32" s="112">
        <v>10849037</v>
      </c>
      <c r="I32" s="112">
        <v>2646237</v>
      </c>
      <c r="J32" s="112">
        <v>0</v>
      </c>
      <c r="K32" s="112">
        <v>0</v>
      </c>
      <c r="L32" s="112">
        <v>0</v>
      </c>
      <c r="M32" s="112">
        <v>54</v>
      </c>
      <c r="N32" s="112">
        <v>8202746</v>
      </c>
      <c r="O32" s="112">
        <v>3810</v>
      </c>
      <c r="P32" s="112">
        <v>8206556</v>
      </c>
    </row>
    <row r="33" spans="1:16" x14ac:dyDescent="0.2">
      <c r="A33" s="1">
        <v>2000001</v>
      </c>
      <c r="B33" s="112" t="s">
        <v>60</v>
      </c>
      <c r="C33" s="112">
        <v>133</v>
      </c>
      <c r="D33" s="112">
        <v>1713380345</v>
      </c>
      <c r="E33" s="112">
        <v>22031012</v>
      </c>
      <c r="F33" s="112">
        <v>18763300</v>
      </c>
      <c r="G33" s="112">
        <v>1716648057</v>
      </c>
      <c r="H33" s="112">
        <v>119987053</v>
      </c>
      <c r="I33" s="112">
        <v>18835769</v>
      </c>
      <c r="J33" s="112">
        <v>0</v>
      </c>
      <c r="K33" s="112">
        <v>0</v>
      </c>
      <c r="L33" s="112">
        <v>0</v>
      </c>
      <c r="M33" s="112">
        <v>0</v>
      </c>
      <c r="N33" s="112">
        <v>101185118</v>
      </c>
      <c r="O33" s="112">
        <v>153588</v>
      </c>
      <c r="P33" s="112">
        <v>101338706</v>
      </c>
    </row>
    <row r="34" spans="1:16" s="113" customFormat="1" x14ac:dyDescent="0.2">
      <c r="A34" s="4"/>
      <c r="B34" s="113" t="s">
        <v>61</v>
      </c>
      <c r="C34" s="113">
        <v>41407</v>
      </c>
      <c r="D34" s="113">
        <v>4711584084</v>
      </c>
      <c r="E34" s="113">
        <v>54110318</v>
      </c>
      <c r="F34" s="113">
        <v>132652374</v>
      </c>
      <c r="G34" s="113">
        <v>4633042028</v>
      </c>
      <c r="H34" s="113">
        <v>270496736</v>
      </c>
      <c r="I34" s="113">
        <v>37357360</v>
      </c>
      <c r="J34" s="113">
        <v>1224</v>
      </c>
      <c r="K34" s="113">
        <v>5258</v>
      </c>
      <c r="L34" s="113">
        <v>740585</v>
      </c>
      <c r="M34" s="113">
        <v>87248</v>
      </c>
      <c r="N34" s="113">
        <v>232475253</v>
      </c>
      <c r="O34" s="113">
        <v>164068</v>
      </c>
      <c r="P34" s="113">
        <v>232639321</v>
      </c>
    </row>
    <row r="36" spans="1:16" x14ac:dyDescent="0.2">
      <c r="C36" s="119"/>
      <c r="D36" s="119"/>
      <c r="E36" s="119"/>
      <c r="F36" s="119"/>
      <c r="G36" s="119"/>
      <c r="H36" s="119"/>
      <c r="I36" s="119"/>
      <c r="J36" s="119"/>
      <c r="K36" s="119"/>
      <c r="L36" s="119"/>
      <c r="M36" s="119"/>
      <c r="N36" s="119"/>
      <c r="O36" s="119"/>
      <c r="P36" s="119"/>
    </row>
  </sheetData>
  <pageMargins left="0.75" right="0.75" top="1" bottom="1" header="0.5" footer="0.5"/>
  <pageSetup scale="4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63D50-DD03-4CD2-9133-6BF1F46DE245}">
  <sheetPr>
    <tabColor theme="7"/>
    <pageSetUpPr fitToPage="1"/>
  </sheetPr>
  <dimension ref="A1:AC36"/>
  <sheetViews>
    <sheetView workbookViewId="0"/>
  </sheetViews>
  <sheetFormatPr defaultColWidth="9.140625" defaultRowHeight="12.75" x14ac:dyDescent="0.2"/>
  <cols>
    <col min="1" max="1" width="22.7109375" style="1" customWidth="1"/>
    <col min="2" max="2" width="25.7109375" style="112" bestFit="1" customWidth="1"/>
    <col min="3" max="3" width="15.28515625" style="112" customWidth="1"/>
    <col min="4" max="4" width="16.7109375" style="112" customWidth="1"/>
    <col min="5" max="5" width="19.7109375" style="112" customWidth="1"/>
    <col min="6" max="6" width="21.28515625" style="112" customWidth="1"/>
    <col min="7" max="7" width="15.28515625" style="112" customWidth="1"/>
    <col min="8" max="8" width="13.7109375" style="112" customWidth="1"/>
    <col min="9" max="9" width="20.140625" style="112" customWidth="1"/>
    <col min="10" max="10" width="18.140625" style="112" customWidth="1"/>
    <col min="11" max="11" width="14.28515625" style="112" customWidth="1"/>
    <col min="12" max="12" width="20.28515625" style="112" customWidth="1"/>
    <col min="13" max="13" width="24.140625" style="112" customWidth="1"/>
    <col min="14" max="14" width="15.7109375" style="112" customWidth="1"/>
    <col min="15" max="15" width="11.7109375" style="112" customWidth="1"/>
    <col min="16" max="16" width="13.140625" style="112" customWidth="1"/>
    <col min="17" max="16384" width="9.140625" style="112"/>
  </cols>
  <sheetData>
    <row r="1" spans="1:29" ht="89.25" x14ac:dyDescent="0.2">
      <c r="A1" s="98" t="s">
        <v>603</v>
      </c>
      <c r="B1" s="112" t="s">
        <v>64</v>
      </c>
      <c r="C1" s="118" t="s">
        <v>660</v>
      </c>
    </row>
    <row r="2" spans="1:29" x14ac:dyDescent="0.2">
      <c r="M2" s="117" t="s">
        <v>3</v>
      </c>
    </row>
    <row r="3" spans="1:29" s="117" customFormat="1" ht="11.25" x14ac:dyDescent="0.15">
      <c r="A3" s="2"/>
      <c r="C3" s="117" t="s">
        <v>4</v>
      </c>
      <c r="D3" s="117" t="s">
        <v>5</v>
      </c>
      <c r="E3" s="117" t="s">
        <v>6</v>
      </c>
      <c r="F3" s="117" t="s">
        <v>7</v>
      </c>
      <c r="G3" s="117" t="s">
        <v>8</v>
      </c>
      <c r="H3" s="117" t="s">
        <v>9</v>
      </c>
      <c r="I3" s="120" t="s">
        <v>10</v>
      </c>
      <c r="J3" s="117" t="s">
        <v>11</v>
      </c>
      <c r="K3" s="117" t="s">
        <v>12</v>
      </c>
      <c r="L3" s="120" t="s">
        <v>13</v>
      </c>
      <c r="M3" s="117" t="s">
        <v>14</v>
      </c>
      <c r="N3" s="117" t="s">
        <v>15</v>
      </c>
      <c r="O3" s="117" t="s">
        <v>16</v>
      </c>
      <c r="P3" s="117" t="s">
        <v>17</v>
      </c>
    </row>
    <row r="4" spans="1:29" s="114" customFormat="1" ht="11.25" x14ac:dyDescent="0.15">
      <c r="A4" s="3"/>
      <c r="B4" s="116" t="s">
        <v>18</v>
      </c>
      <c r="C4" s="116"/>
      <c r="D4" s="116" t="s">
        <v>19</v>
      </c>
      <c r="E4" s="116" t="s">
        <v>20</v>
      </c>
      <c r="F4" s="116" t="s">
        <v>21</v>
      </c>
      <c r="G4" s="116" t="s">
        <v>22</v>
      </c>
      <c r="H4" s="116" t="s">
        <v>23</v>
      </c>
      <c r="I4" s="116" t="s">
        <v>24</v>
      </c>
      <c r="J4" s="116" t="s">
        <v>25</v>
      </c>
      <c r="K4" s="116" t="s">
        <v>26</v>
      </c>
      <c r="L4" s="116" t="s">
        <v>27</v>
      </c>
      <c r="M4" s="116" t="s">
        <v>28</v>
      </c>
      <c r="N4" s="116" t="s">
        <v>29</v>
      </c>
      <c r="O4" s="116" t="s">
        <v>30</v>
      </c>
      <c r="P4" s="116" t="s">
        <v>31</v>
      </c>
      <c r="Q4" s="115"/>
      <c r="R4" s="115"/>
      <c r="S4" s="115"/>
      <c r="T4" s="115"/>
      <c r="U4" s="115"/>
      <c r="V4" s="115"/>
      <c r="W4" s="115"/>
      <c r="X4" s="115"/>
      <c r="Y4" s="115"/>
      <c r="Z4" s="115"/>
      <c r="AA4" s="115"/>
      <c r="AB4" s="115"/>
      <c r="AC4" s="115"/>
    </row>
    <row r="5" spans="1:29" x14ac:dyDescent="0.2">
      <c r="A5" s="1">
        <v>5000</v>
      </c>
      <c r="B5" s="112" t="s">
        <v>32</v>
      </c>
      <c r="C5" s="112">
        <v>6031</v>
      </c>
      <c r="D5" s="112">
        <v>14596045</v>
      </c>
      <c r="E5" s="112">
        <v>35848</v>
      </c>
      <c r="F5" s="112">
        <v>2089028</v>
      </c>
      <c r="G5" s="112">
        <v>12542865</v>
      </c>
      <c r="H5" s="112">
        <v>131</v>
      </c>
      <c r="I5" s="112">
        <v>1</v>
      </c>
      <c r="J5" s="112">
        <v>0</v>
      </c>
      <c r="K5" s="112">
        <v>735</v>
      </c>
      <c r="L5" s="112">
        <v>136646</v>
      </c>
      <c r="M5" s="112">
        <v>0</v>
      </c>
      <c r="N5" s="112">
        <v>131</v>
      </c>
      <c r="O5" s="112">
        <v>104</v>
      </c>
      <c r="P5" s="112">
        <v>235</v>
      </c>
    </row>
    <row r="6" spans="1:29" x14ac:dyDescent="0.2">
      <c r="A6" s="1">
        <v>10000</v>
      </c>
      <c r="B6" s="112" t="s">
        <v>33</v>
      </c>
      <c r="C6" s="112">
        <v>7288</v>
      </c>
      <c r="D6" s="112">
        <v>57605038</v>
      </c>
      <c r="E6" s="112">
        <v>179531</v>
      </c>
      <c r="F6" s="112">
        <v>1618530</v>
      </c>
      <c r="G6" s="112">
        <v>56166039</v>
      </c>
      <c r="H6" s="112">
        <v>3</v>
      </c>
      <c r="I6" s="112">
        <v>0</v>
      </c>
      <c r="J6" s="112">
        <v>0</v>
      </c>
      <c r="K6" s="112">
        <v>1078</v>
      </c>
      <c r="L6" s="112">
        <v>200198</v>
      </c>
      <c r="M6" s="112">
        <v>0</v>
      </c>
      <c r="N6" s="112">
        <v>3</v>
      </c>
      <c r="O6" s="112">
        <v>136</v>
      </c>
      <c r="P6" s="112">
        <v>139</v>
      </c>
    </row>
    <row r="7" spans="1:29" x14ac:dyDescent="0.2">
      <c r="A7" s="1">
        <v>12000</v>
      </c>
      <c r="B7" s="112" t="s">
        <v>34</v>
      </c>
      <c r="C7" s="112">
        <v>4684</v>
      </c>
      <c r="D7" s="112">
        <v>52447006</v>
      </c>
      <c r="E7" s="112">
        <v>103320</v>
      </c>
      <c r="F7" s="112">
        <v>951019</v>
      </c>
      <c r="G7" s="112">
        <v>51599307</v>
      </c>
      <c r="H7" s="112">
        <v>448</v>
      </c>
      <c r="I7" s="112">
        <v>0</v>
      </c>
      <c r="J7" s="112">
        <v>0</v>
      </c>
      <c r="K7" s="112">
        <v>765</v>
      </c>
      <c r="L7" s="112">
        <v>141092</v>
      </c>
      <c r="M7" s="112">
        <v>0</v>
      </c>
      <c r="N7" s="112">
        <v>448</v>
      </c>
      <c r="O7" s="112">
        <v>21</v>
      </c>
      <c r="P7" s="112">
        <v>469</v>
      </c>
    </row>
    <row r="8" spans="1:29" x14ac:dyDescent="0.2">
      <c r="A8" s="1">
        <v>15000</v>
      </c>
      <c r="B8" s="112" t="s">
        <v>35</v>
      </c>
      <c r="C8" s="112">
        <v>7515</v>
      </c>
      <c r="D8" s="112">
        <v>104024766</v>
      </c>
      <c r="E8" s="112">
        <v>147490</v>
      </c>
      <c r="F8" s="112">
        <v>2431719</v>
      </c>
      <c r="G8" s="112">
        <v>101740537</v>
      </c>
      <c r="H8" s="112">
        <v>773</v>
      </c>
      <c r="I8" s="112">
        <v>12</v>
      </c>
      <c r="J8" s="112">
        <v>0</v>
      </c>
      <c r="K8" s="112">
        <v>1284</v>
      </c>
      <c r="L8" s="112">
        <v>236903</v>
      </c>
      <c r="M8" s="112">
        <v>0</v>
      </c>
      <c r="N8" s="112">
        <v>773</v>
      </c>
      <c r="O8" s="112">
        <v>819</v>
      </c>
      <c r="P8" s="112">
        <v>1592</v>
      </c>
    </row>
    <row r="9" spans="1:29" x14ac:dyDescent="0.2">
      <c r="A9" s="1">
        <v>19000</v>
      </c>
      <c r="B9" s="112" t="s">
        <v>36</v>
      </c>
      <c r="C9" s="112">
        <v>12231</v>
      </c>
      <c r="D9" s="112">
        <v>213131337</v>
      </c>
      <c r="E9" s="112">
        <v>286798</v>
      </c>
      <c r="F9" s="112">
        <v>4697776</v>
      </c>
      <c r="G9" s="112">
        <v>208720359</v>
      </c>
      <c r="H9" s="112">
        <v>198</v>
      </c>
      <c r="I9" s="112">
        <v>4</v>
      </c>
      <c r="J9" s="112">
        <v>0</v>
      </c>
      <c r="K9" s="112">
        <v>2313</v>
      </c>
      <c r="L9" s="112">
        <v>425107</v>
      </c>
      <c r="M9" s="112">
        <v>0</v>
      </c>
      <c r="N9" s="112">
        <v>198</v>
      </c>
      <c r="O9" s="112">
        <v>248</v>
      </c>
      <c r="P9" s="112">
        <v>446</v>
      </c>
    </row>
    <row r="10" spans="1:29" x14ac:dyDescent="0.2">
      <c r="A10" s="1">
        <v>20000</v>
      </c>
      <c r="B10" s="112" t="s">
        <v>37</v>
      </c>
      <c r="C10" s="112">
        <v>3482</v>
      </c>
      <c r="D10" s="112">
        <v>69141631</v>
      </c>
      <c r="E10" s="112">
        <v>102321</v>
      </c>
      <c r="F10" s="112">
        <v>1341671</v>
      </c>
      <c r="G10" s="112">
        <v>67902281</v>
      </c>
      <c r="H10" s="112">
        <v>13130</v>
      </c>
      <c r="I10" s="112">
        <v>222</v>
      </c>
      <c r="J10" s="112">
        <v>0</v>
      </c>
      <c r="K10" s="112">
        <v>928</v>
      </c>
      <c r="L10" s="112">
        <v>166875</v>
      </c>
      <c r="M10" s="112">
        <v>0</v>
      </c>
      <c r="N10" s="112">
        <v>9602</v>
      </c>
      <c r="O10" s="112">
        <v>0</v>
      </c>
      <c r="P10" s="112">
        <v>9602</v>
      </c>
    </row>
    <row r="11" spans="1:29" x14ac:dyDescent="0.2">
      <c r="A11" s="1">
        <v>24000</v>
      </c>
      <c r="B11" s="112" t="s">
        <v>38</v>
      </c>
      <c r="C11" s="112">
        <v>15017</v>
      </c>
      <c r="D11" s="112">
        <v>337073049</v>
      </c>
      <c r="E11" s="112">
        <v>445703</v>
      </c>
      <c r="F11" s="112">
        <v>6969530</v>
      </c>
      <c r="G11" s="112">
        <v>330549222</v>
      </c>
      <c r="H11" s="112">
        <v>338852</v>
      </c>
      <c r="I11" s="112">
        <v>2742</v>
      </c>
      <c r="J11" s="112">
        <v>604</v>
      </c>
      <c r="K11" s="112">
        <v>4621</v>
      </c>
      <c r="L11" s="112">
        <v>830355</v>
      </c>
      <c r="M11" s="112">
        <v>36</v>
      </c>
      <c r="N11" s="112">
        <v>230767</v>
      </c>
      <c r="O11" s="112">
        <v>685</v>
      </c>
      <c r="P11" s="112">
        <v>231452</v>
      </c>
    </row>
    <row r="12" spans="1:29" x14ac:dyDescent="0.2">
      <c r="A12" s="1">
        <v>25000</v>
      </c>
      <c r="B12" s="112" t="s">
        <v>39</v>
      </c>
      <c r="C12" s="112">
        <v>3903</v>
      </c>
      <c r="D12" s="112">
        <v>97722666</v>
      </c>
      <c r="E12" s="112">
        <v>118545</v>
      </c>
      <c r="F12" s="112">
        <v>2198289</v>
      </c>
      <c r="G12" s="112">
        <v>95642922</v>
      </c>
      <c r="H12" s="112">
        <v>211783</v>
      </c>
      <c r="I12" s="112">
        <v>1722</v>
      </c>
      <c r="J12" s="112">
        <v>0</v>
      </c>
      <c r="K12" s="112">
        <v>1237</v>
      </c>
      <c r="L12" s="112">
        <v>223077</v>
      </c>
      <c r="M12" s="112">
        <v>0</v>
      </c>
      <c r="N12" s="112">
        <v>143719</v>
      </c>
      <c r="O12" s="112">
        <v>10</v>
      </c>
      <c r="P12" s="112">
        <v>143729</v>
      </c>
    </row>
    <row r="13" spans="1:29" x14ac:dyDescent="0.2">
      <c r="A13" s="1">
        <v>30000</v>
      </c>
      <c r="B13" s="112" t="s">
        <v>40</v>
      </c>
      <c r="C13" s="112">
        <v>19303</v>
      </c>
      <c r="D13" s="112">
        <v>542082036</v>
      </c>
      <c r="E13" s="112">
        <v>572487</v>
      </c>
      <c r="F13" s="112">
        <v>11978906</v>
      </c>
      <c r="G13" s="112">
        <v>530675617</v>
      </c>
      <c r="H13" s="112">
        <v>2892383</v>
      </c>
      <c r="I13" s="112">
        <v>33961</v>
      </c>
      <c r="J13" s="112">
        <v>0</v>
      </c>
      <c r="K13" s="112">
        <v>6997</v>
      </c>
      <c r="L13" s="112">
        <v>1291807</v>
      </c>
      <c r="M13" s="112">
        <v>0</v>
      </c>
      <c r="N13" s="112">
        <v>1860145</v>
      </c>
      <c r="O13" s="112">
        <v>1197</v>
      </c>
      <c r="P13" s="112">
        <v>1861342</v>
      </c>
    </row>
    <row r="14" spans="1:29" x14ac:dyDescent="0.2">
      <c r="A14" s="1">
        <v>34000</v>
      </c>
      <c r="B14" s="112" t="s">
        <v>41</v>
      </c>
      <c r="C14" s="112">
        <v>15296</v>
      </c>
      <c r="D14" s="112">
        <v>497589504</v>
      </c>
      <c r="E14" s="112">
        <v>647862</v>
      </c>
      <c r="F14" s="112">
        <v>9135588</v>
      </c>
      <c r="G14" s="112">
        <v>489101778</v>
      </c>
      <c r="H14" s="112">
        <v>3870098</v>
      </c>
      <c r="I14" s="112">
        <v>60349</v>
      </c>
      <c r="J14" s="112">
        <v>0</v>
      </c>
      <c r="K14" s="112">
        <v>6318</v>
      </c>
      <c r="L14" s="112">
        <v>1175813</v>
      </c>
      <c r="M14" s="112">
        <v>520</v>
      </c>
      <c r="N14" s="112">
        <v>2632326</v>
      </c>
      <c r="O14" s="112">
        <v>907</v>
      </c>
      <c r="P14" s="112">
        <v>2633233</v>
      </c>
    </row>
    <row r="15" spans="1:29" x14ac:dyDescent="0.2">
      <c r="A15" s="1">
        <v>35000</v>
      </c>
      <c r="B15" s="112" t="s">
        <v>42</v>
      </c>
      <c r="C15" s="112">
        <v>3568</v>
      </c>
      <c r="D15" s="112">
        <v>124721530</v>
      </c>
      <c r="E15" s="112">
        <v>254366</v>
      </c>
      <c r="F15" s="112">
        <v>1870034</v>
      </c>
      <c r="G15" s="112">
        <v>123105862</v>
      </c>
      <c r="H15" s="112">
        <v>1204611</v>
      </c>
      <c r="I15" s="112">
        <v>24607</v>
      </c>
      <c r="J15" s="112">
        <v>0</v>
      </c>
      <c r="K15" s="112">
        <v>1586</v>
      </c>
      <c r="L15" s="112">
        <v>298178</v>
      </c>
      <c r="M15" s="112">
        <v>0</v>
      </c>
      <c r="N15" s="112">
        <v>881733</v>
      </c>
      <c r="O15" s="112">
        <v>33</v>
      </c>
      <c r="P15" s="112">
        <v>881766</v>
      </c>
    </row>
    <row r="16" spans="1:29" x14ac:dyDescent="0.2">
      <c r="A16" s="1">
        <v>40000</v>
      </c>
      <c r="B16" s="112" t="s">
        <v>43</v>
      </c>
      <c r="C16" s="112">
        <v>16720</v>
      </c>
      <c r="D16" s="112">
        <v>635539796</v>
      </c>
      <c r="E16" s="112">
        <v>905286</v>
      </c>
      <c r="F16" s="112">
        <v>10923757</v>
      </c>
      <c r="G16" s="112">
        <v>625521325</v>
      </c>
      <c r="H16" s="112">
        <v>8884507</v>
      </c>
      <c r="I16" s="112">
        <v>227212</v>
      </c>
      <c r="J16" s="112">
        <v>0</v>
      </c>
      <c r="K16" s="112">
        <v>8000</v>
      </c>
      <c r="L16" s="112">
        <v>1507277</v>
      </c>
      <c r="M16" s="112">
        <v>394</v>
      </c>
      <c r="N16" s="112">
        <v>7149221</v>
      </c>
      <c r="O16" s="112">
        <v>582</v>
      </c>
      <c r="P16" s="112">
        <v>7149803</v>
      </c>
    </row>
    <row r="17" spans="1:16" x14ac:dyDescent="0.2">
      <c r="A17" s="1">
        <v>44000</v>
      </c>
      <c r="B17" s="112" t="s">
        <v>44</v>
      </c>
      <c r="C17" s="112">
        <v>11196</v>
      </c>
      <c r="D17" s="112">
        <v>475721185</v>
      </c>
      <c r="E17" s="112">
        <v>846199</v>
      </c>
      <c r="F17" s="112">
        <v>6816349</v>
      </c>
      <c r="G17" s="112">
        <v>469751035</v>
      </c>
      <c r="H17" s="112">
        <v>10000867</v>
      </c>
      <c r="I17" s="112">
        <v>328441</v>
      </c>
      <c r="J17" s="112">
        <v>562</v>
      </c>
      <c r="K17" s="112">
        <v>5980</v>
      </c>
      <c r="L17" s="112">
        <v>1135987</v>
      </c>
      <c r="M17" s="112">
        <v>0</v>
      </c>
      <c r="N17" s="112">
        <v>8535995</v>
      </c>
      <c r="O17" s="112">
        <v>54</v>
      </c>
      <c r="P17" s="112">
        <v>8536049</v>
      </c>
    </row>
    <row r="18" spans="1:16" x14ac:dyDescent="0.2">
      <c r="A18" s="1">
        <v>45000</v>
      </c>
      <c r="B18" s="112" t="s">
        <v>45</v>
      </c>
      <c r="C18" s="112">
        <v>2521</v>
      </c>
      <c r="D18" s="112">
        <v>113860877</v>
      </c>
      <c r="E18" s="112">
        <v>227441</v>
      </c>
      <c r="F18" s="112">
        <v>1940618</v>
      </c>
      <c r="G18" s="112">
        <v>112147700</v>
      </c>
      <c r="H18" s="112">
        <v>2844758</v>
      </c>
      <c r="I18" s="112">
        <v>110682</v>
      </c>
      <c r="J18" s="112">
        <v>0</v>
      </c>
      <c r="K18" s="112">
        <v>1398</v>
      </c>
      <c r="L18" s="112">
        <v>267283</v>
      </c>
      <c r="M18" s="112">
        <v>0</v>
      </c>
      <c r="N18" s="112">
        <v>2466791</v>
      </c>
      <c r="O18" s="112">
        <v>1</v>
      </c>
      <c r="P18" s="112">
        <v>2466792</v>
      </c>
    </row>
    <row r="19" spans="1:16" x14ac:dyDescent="0.2">
      <c r="A19" s="1">
        <v>48000</v>
      </c>
      <c r="B19" s="112" t="s">
        <v>46</v>
      </c>
      <c r="C19" s="112">
        <v>6674</v>
      </c>
      <c r="D19" s="112">
        <v>314376640</v>
      </c>
      <c r="E19" s="112">
        <v>525323</v>
      </c>
      <c r="F19" s="112">
        <v>4856459</v>
      </c>
      <c r="G19" s="112">
        <v>310045504</v>
      </c>
      <c r="H19" s="112">
        <v>8964404</v>
      </c>
      <c r="I19" s="112">
        <v>346418</v>
      </c>
      <c r="J19" s="112">
        <v>0</v>
      </c>
      <c r="K19" s="112">
        <v>3801</v>
      </c>
      <c r="L19" s="112">
        <v>729505</v>
      </c>
      <c r="M19" s="112">
        <v>0</v>
      </c>
      <c r="N19" s="112">
        <v>7885118</v>
      </c>
      <c r="O19" s="112">
        <v>38</v>
      </c>
      <c r="P19" s="112">
        <v>7885156</v>
      </c>
    </row>
    <row r="20" spans="1:16" x14ac:dyDescent="0.2">
      <c r="A20" s="1">
        <v>50000</v>
      </c>
      <c r="B20" s="112" t="s">
        <v>47</v>
      </c>
      <c r="C20" s="112">
        <v>4256</v>
      </c>
      <c r="D20" s="112">
        <v>211515051</v>
      </c>
      <c r="E20" s="112">
        <v>412303</v>
      </c>
      <c r="F20" s="112">
        <v>3403256</v>
      </c>
      <c r="G20" s="112">
        <v>208524098</v>
      </c>
      <c r="H20" s="112">
        <v>6720205</v>
      </c>
      <c r="I20" s="112">
        <v>279667</v>
      </c>
      <c r="J20" s="112">
        <v>0</v>
      </c>
      <c r="K20" s="112">
        <v>2474</v>
      </c>
      <c r="L20" s="112">
        <v>474542</v>
      </c>
      <c r="M20" s="112">
        <v>1628</v>
      </c>
      <c r="N20" s="112">
        <v>5964615</v>
      </c>
      <c r="O20" s="112">
        <v>410</v>
      </c>
      <c r="P20" s="112">
        <v>5965025</v>
      </c>
    </row>
    <row r="21" spans="1:16" x14ac:dyDescent="0.2">
      <c r="A21" s="1">
        <v>60000</v>
      </c>
      <c r="B21" s="112" t="s">
        <v>48</v>
      </c>
      <c r="C21" s="112">
        <v>17304</v>
      </c>
      <c r="D21" s="112">
        <v>961260376</v>
      </c>
      <c r="E21" s="112">
        <v>1626389</v>
      </c>
      <c r="F21" s="112">
        <v>15542033</v>
      </c>
      <c r="G21" s="112">
        <v>947344732</v>
      </c>
      <c r="H21" s="112">
        <v>35872074</v>
      </c>
      <c r="I21" s="112">
        <v>1747061</v>
      </c>
      <c r="J21" s="112">
        <v>953</v>
      </c>
      <c r="K21" s="112">
        <v>10651</v>
      </c>
      <c r="L21" s="112">
        <v>1898632</v>
      </c>
      <c r="M21" s="112">
        <v>5391</v>
      </c>
      <c r="N21" s="112">
        <v>32223449</v>
      </c>
      <c r="O21" s="112">
        <v>1635</v>
      </c>
      <c r="P21" s="112">
        <v>32225084</v>
      </c>
    </row>
    <row r="22" spans="1:16" x14ac:dyDescent="0.2">
      <c r="A22" s="1">
        <v>74000</v>
      </c>
      <c r="B22" s="112" t="s">
        <v>49</v>
      </c>
      <c r="C22" s="112">
        <v>17428</v>
      </c>
      <c r="D22" s="112">
        <v>1171770045</v>
      </c>
      <c r="E22" s="112">
        <v>2382391</v>
      </c>
      <c r="F22" s="112">
        <v>15410390</v>
      </c>
      <c r="G22" s="112">
        <v>1158742046</v>
      </c>
      <c r="H22" s="112">
        <v>47128454</v>
      </c>
      <c r="I22" s="112">
        <v>2686950</v>
      </c>
      <c r="J22" s="112">
        <v>6521</v>
      </c>
      <c r="K22" s="112">
        <v>11416</v>
      </c>
      <c r="L22" s="112">
        <v>1680673</v>
      </c>
      <c r="M22" s="112">
        <v>1874</v>
      </c>
      <c r="N22" s="112">
        <v>42767291</v>
      </c>
      <c r="O22" s="112">
        <v>1972</v>
      </c>
      <c r="P22" s="112">
        <v>42769263</v>
      </c>
    </row>
    <row r="23" spans="1:16" x14ac:dyDescent="0.2">
      <c r="A23" s="1">
        <v>75000</v>
      </c>
      <c r="B23" s="112" t="s">
        <v>50</v>
      </c>
      <c r="C23" s="112">
        <v>932</v>
      </c>
      <c r="D23" s="112">
        <v>70133868</v>
      </c>
      <c r="E23" s="112">
        <v>104370</v>
      </c>
      <c r="F23" s="112">
        <v>804685</v>
      </c>
      <c r="G23" s="112">
        <v>69433553</v>
      </c>
      <c r="H23" s="112">
        <v>2903689</v>
      </c>
      <c r="I23" s="112">
        <v>198474</v>
      </c>
      <c r="J23" s="112">
        <v>0</v>
      </c>
      <c r="K23" s="112">
        <v>621</v>
      </c>
      <c r="L23" s="112">
        <v>76865</v>
      </c>
      <c r="M23" s="112">
        <v>0</v>
      </c>
      <c r="N23" s="112">
        <v>2628557</v>
      </c>
      <c r="O23" s="112">
        <v>28</v>
      </c>
      <c r="P23" s="112">
        <v>2628585</v>
      </c>
    </row>
    <row r="24" spans="1:16" x14ac:dyDescent="0.2">
      <c r="A24" s="1">
        <v>96000</v>
      </c>
      <c r="B24" s="112" t="s">
        <v>51</v>
      </c>
      <c r="C24" s="112">
        <v>15751</v>
      </c>
      <c r="D24" s="112">
        <v>1334232629</v>
      </c>
      <c r="E24" s="112">
        <v>2973573</v>
      </c>
      <c r="F24" s="112">
        <v>9741728</v>
      </c>
      <c r="G24" s="112">
        <v>1327464474</v>
      </c>
      <c r="H24" s="112">
        <v>62230137</v>
      </c>
      <c r="I24" s="112">
        <v>3914454</v>
      </c>
      <c r="J24" s="112">
        <v>0</v>
      </c>
      <c r="K24" s="112">
        <v>11074</v>
      </c>
      <c r="L24" s="112">
        <v>1031047</v>
      </c>
      <c r="M24" s="112">
        <v>3744</v>
      </c>
      <c r="N24" s="112">
        <v>57286074</v>
      </c>
      <c r="O24" s="112">
        <v>1910</v>
      </c>
      <c r="P24" s="112">
        <v>57287984</v>
      </c>
    </row>
    <row r="25" spans="1:16" x14ac:dyDescent="0.2">
      <c r="A25" s="1">
        <v>100000</v>
      </c>
      <c r="B25" s="112" t="s">
        <v>52</v>
      </c>
      <c r="C25" s="112">
        <v>1924</v>
      </c>
      <c r="D25" s="112">
        <v>189212048</v>
      </c>
      <c r="E25" s="112">
        <v>540786</v>
      </c>
      <c r="F25" s="112">
        <v>1319559</v>
      </c>
      <c r="G25" s="112">
        <v>188433275</v>
      </c>
      <c r="H25" s="112">
        <v>9308278</v>
      </c>
      <c r="I25" s="112">
        <v>724146</v>
      </c>
      <c r="J25" s="112">
        <v>0</v>
      </c>
      <c r="K25" s="112">
        <v>1365</v>
      </c>
      <c r="L25" s="112">
        <v>67479</v>
      </c>
      <c r="M25" s="112">
        <v>0</v>
      </c>
      <c r="N25" s="112">
        <v>8521813</v>
      </c>
      <c r="O25" s="112">
        <v>28</v>
      </c>
      <c r="P25" s="112">
        <v>8521841</v>
      </c>
    </row>
    <row r="26" spans="1:16" x14ac:dyDescent="0.2">
      <c r="A26" s="1">
        <v>150000</v>
      </c>
      <c r="B26" s="112" t="s">
        <v>53</v>
      </c>
      <c r="C26" s="112">
        <v>11823</v>
      </c>
      <c r="D26" s="112">
        <v>1412845811</v>
      </c>
      <c r="E26" s="112">
        <v>5387775</v>
      </c>
      <c r="F26" s="112">
        <v>10700953</v>
      </c>
      <c r="G26" s="112">
        <v>1407532633</v>
      </c>
      <c r="H26" s="112">
        <v>72263680</v>
      </c>
      <c r="I26" s="112">
        <v>6753252</v>
      </c>
      <c r="J26" s="112">
        <v>1160</v>
      </c>
      <c r="K26" s="112">
        <v>3807</v>
      </c>
      <c r="L26" s="112">
        <v>116600</v>
      </c>
      <c r="M26" s="112">
        <v>6692</v>
      </c>
      <c r="N26" s="112">
        <v>65392052</v>
      </c>
      <c r="O26" s="112">
        <v>1283</v>
      </c>
      <c r="P26" s="112">
        <v>65393335</v>
      </c>
    </row>
    <row r="27" spans="1:16" x14ac:dyDescent="0.2">
      <c r="A27" s="1">
        <v>200000</v>
      </c>
      <c r="B27" s="112" t="s">
        <v>54</v>
      </c>
      <c r="C27" s="112">
        <v>3453</v>
      </c>
      <c r="D27" s="112">
        <v>589864469</v>
      </c>
      <c r="E27" s="112">
        <v>3239096</v>
      </c>
      <c r="F27" s="112">
        <v>4490917</v>
      </c>
      <c r="G27" s="112">
        <v>588612648</v>
      </c>
      <c r="H27" s="112">
        <v>31200920</v>
      </c>
      <c r="I27" s="112">
        <v>3974241</v>
      </c>
      <c r="J27" s="112">
        <v>0</v>
      </c>
      <c r="K27" s="112">
        <v>0</v>
      </c>
      <c r="L27" s="112">
        <v>0</v>
      </c>
      <c r="M27" s="112">
        <v>6250</v>
      </c>
      <c r="N27" s="112">
        <v>27220633</v>
      </c>
      <c r="O27" s="112">
        <v>654</v>
      </c>
      <c r="P27" s="112">
        <v>27221287</v>
      </c>
    </row>
    <row r="28" spans="1:16" x14ac:dyDescent="0.2">
      <c r="A28" s="1">
        <v>250000</v>
      </c>
      <c r="B28" s="112" t="s">
        <v>55</v>
      </c>
      <c r="C28" s="112">
        <v>1473</v>
      </c>
      <c r="D28" s="112">
        <v>326207231</v>
      </c>
      <c r="E28" s="112">
        <v>2421271</v>
      </c>
      <c r="F28" s="112">
        <v>2364509</v>
      </c>
      <c r="G28" s="112">
        <v>326263993</v>
      </c>
      <c r="H28" s="112">
        <v>17808601</v>
      </c>
      <c r="I28" s="112">
        <v>2787902</v>
      </c>
      <c r="J28" s="112">
        <v>0</v>
      </c>
      <c r="K28" s="112">
        <v>0</v>
      </c>
      <c r="L28" s="112">
        <v>0</v>
      </c>
      <c r="M28" s="112">
        <v>769</v>
      </c>
      <c r="N28" s="112">
        <v>15023939</v>
      </c>
      <c r="O28" s="112">
        <v>1087</v>
      </c>
      <c r="P28" s="112">
        <v>15025026</v>
      </c>
    </row>
    <row r="29" spans="1:16" x14ac:dyDescent="0.2">
      <c r="A29" s="1">
        <v>350000</v>
      </c>
      <c r="B29" s="112" t="s">
        <v>56</v>
      </c>
      <c r="C29" s="112">
        <v>1227</v>
      </c>
      <c r="D29" s="112">
        <v>356042292</v>
      </c>
      <c r="E29" s="112">
        <v>5457239</v>
      </c>
      <c r="F29" s="112">
        <v>2961815</v>
      </c>
      <c r="G29" s="112">
        <v>358537716</v>
      </c>
      <c r="H29" s="112">
        <v>20146884</v>
      </c>
      <c r="I29" s="112">
        <v>3357145</v>
      </c>
      <c r="J29" s="112">
        <v>0</v>
      </c>
      <c r="K29" s="112">
        <v>0</v>
      </c>
      <c r="L29" s="112">
        <v>0</v>
      </c>
      <c r="M29" s="112">
        <v>28452</v>
      </c>
      <c r="N29" s="112">
        <v>16765570</v>
      </c>
      <c r="O29" s="112">
        <v>1281</v>
      </c>
      <c r="P29" s="112">
        <v>16766851</v>
      </c>
    </row>
    <row r="30" spans="1:16" x14ac:dyDescent="0.2">
      <c r="A30" s="1">
        <v>500000</v>
      </c>
      <c r="B30" s="112" t="s">
        <v>57</v>
      </c>
      <c r="C30" s="112">
        <v>727</v>
      </c>
      <c r="D30" s="112">
        <v>299362553</v>
      </c>
      <c r="E30" s="112">
        <v>4882654</v>
      </c>
      <c r="F30" s="112">
        <v>2623956</v>
      </c>
      <c r="G30" s="112">
        <v>301621251</v>
      </c>
      <c r="H30" s="112">
        <v>18903925</v>
      </c>
      <c r="I30" s="112">
        <v>3626324</v>
      </c>
      <c r="J30" s="112">
        <v>0</v>
      </c>
      <c r="K30" s="112">
        <v>0</v>
      </c>
      <c r="L30" s="112">
        <v>0</v>
      </c>
      <c r="M30" s="112">
        <v>8724</v>
      </c>
      <c r="N30" s="112">
        <v>15370724</v>
      </c>
      <c r="O30" s="112">
        <v>150</v>
      </c>
      <c r="P30" s="112">
        <v>15370874</v>
      </c>
    </row>
    <row r="31" spans="1:16" x14ac:dyDescent="0.2">
      <c r="A31" s="1">
        <v>1000000</v>
      </c>
      <c r="B31" s="112" t="s">
        <v>58</v>
      </c>
      <c r="C31" s="112">
        <v>622</v>
      </c>
      <c r="D31" s="112">
        <v>403655986</v>
      </c>
      <c r="E31" s="112">
        <v>12373277</v>
      </c>
      <c r="F31" s="112">
        <v>4674140</v>
      </c>
      <c r="G31" s="112">
        <v>411355123</v>
      </c>
      <c r="H31" s="112">
        <v>28247282</v>
      </c>
      <c r="I31" s="112">
        <v>6996088</v>
      </c>
      <c r="J31" s="112">
        <v>0</v>
      </c>
      <c r="K31" s="112">
        <v>0</v>
      </c>
      <c r="L31" s="112">
        <v>0</v>
      </c>
      <c r="M31" s="112">
        <v>6250</v>
      </c>
      <c r="N31" s="112">
        <v>21243316</v>
      </c>
      <c r="O31" s="112">
        <v>32</v>
      </c>
      <c r="P31" s="112">
        <v>21243348</v>
      </c>
    </row>
    <row r="32" spans="1:16" x14ac:dyDescent="0.2">
      <c r="A32" s="1">
        <v>2000000</v>
      </c>
      <c r="B32" s="112" t="s">
        <v>59</v>
      </c>
      <c r="C32" s="112">
        <v>189</v>
      </c>
      <c r="D32" s="112">
        <v>249871136</v>
      </c>
      <c r="E32" s="112">
        <v>6926336</v>
      </c>
      <c r="F32" s="112">
        <v>2756131</v>
      </c>
      <c r="G32" s="112">
        <v>254041341</v>
      </c>
      <c r="H32" s="112">
        <v>17719686</v>
      </c>
      <c r="I32" s="112">
        <v>4774625</v>
      </c>
      <c r="J32" s="112">
        <v>0</v>
      </c>
      <c r="K32" s="112">
        <v>0</v>
      </c>
      <c r="L32" s="112">
        <v>0</v>
      </c>
      <c r="M32" s="112">
        <v>0</v>
      </c>
      <c r="N32" s="112">
        <v>12945783</v>
      </c>
      <c r="O32" s="112">
        <v>1601</v>
      </c>
      <c r="P32" s="112">
        <v>12947384</v>
      </c>
    </row>
    <row r="33" spans="1:16" x14ac:dyDescent="0.2">
      <c r="A33" s="1">
        <v>2000001</v>
      </c>
      <c r="B33" s="112" t="s">
        <v>60</v>
      </c>
      <c r="C33" s="112">
        <v>100</v>
      </c>
      <c r="D33" s="112">
        <v>546866652</v>
      </c>
      <c r="E33" s="112">
        <v>16302993</v>
      </c>
      <c r="F33" s="112">
        <v>11726324</v>
      </c>
      <c r="G33" s="112">
        <v>551443321</v>
      </c>
      <c r="H33" s="112">
        <v>38525888</v>
      </c>
      <c r="I33" s="112">
        <v>12337413</v>
      </c>
      <c r="J33" s="112">
        <v>0</v>
      </c>
      <c r="K33" s="112">
        <v>0</v>
      </c>
      <c r="L33" s="112">
        <v>0</v>
      </c>
      <c r="M33" s="112">
        <v>26016</v>
      </c>
      <c r="N33" s="112">
        <v>26162459</v>
      </c>
      <c r="O33" s="112">
        <v>315</v>
      </c>
      <c r="P33" s="112">
        <v>26162774</v>
      </c>
    </row>
    <row r="34" spans="1:16" s="113" customFormat="1" x14ac:dyDescent="0.2">
      <c r="A34" s="4"/>
      <c r="B34" s="113" t="s">
        <v>61</v>
      </c>
      <c r="C34" s="113">
        <v>212638</v>
      </c>
      <c r="D34" s="113">
        <v>11772473253</v>
      </c>
      <c r="E34" s="113">
        <v>70428973</v>
      </c>
      <c r="F34" s="113">
        <v>158339669</v>
      </c>
      <c r="G34" s="113">
        <v>11684562557</v>
      </c>
      <c r="H34" s="113">
        <v>448206649</v>
      </c>
      <c r="I34" s="113">
        <v>55294115</v>
      </c>
      <c r="J34" s="113">
        <v>9800</v>
      </c>
      <c r="K34" s="113">
        <v>88449</v>
      </c>
      <c r="L34" s="113">
        <v>14111941</v>
      </c>
      <c r="M34" s="113">
        <v>96740</v>
      </c>
      <c r="N34" s="113">
        <v>381313245</v>
      </c>
      <c r="O34" s="113">
        <v>17221</v>
      </c>
      <c r="P34" s="113">
        <v>381330466</v>
      </c>
    </row>
    <row r="36" spans="1:16" x14ac:dyDescent="0.2">
      <c r="C36" s="119"/>
      <c r="D36" s="119"/>
      <c r="E36" s="119"/>
      <c r="F36" s="119"/>
      <c r="G36" s="119"/>
      <c r="H36" s="119"/>
      <c r="I36" s="119"/>
      <c r="J36" s="119"/>
      <c r="K36" s="119"/>
      <c r="L36" s="119"/>
      <c r="M36" s="119"/>
      <c r="N36" s="119"/>
      <c r="O36" s="119"/>
      <c r="P36" s="119"/>
    </row>
  </sheetData>
  <pageMargins left="0.75" right="0.75" top="1" bottom="1" header="0.5" footer="0.5"/>
  <pageSetup scale="4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ABC97-2EF9-492B-96C8-AA65649E48F2}">
  <sheetPr>
    <tabColor theme="7"/>
  </sheetPr>
  <dimension ref="A1:Q36"/>
  <sheetViews>
    <sheetView workbookViewId="0"/>
  </sheetViews>
  <sheetFormatPr defaultColWidth="9.140625" defaultRowHeight="12.75" x14ac:dyDescent="0.2"/>
  <cols>
    <col min="1" max="1" width="22.7109375" style="1" customWidth="1"/>
    <col min="2" max="2" width="25.7109375" style="112" bestFit="1" customWidth="1"/>
    <col min="3" max="3" width="15.28515625" style="112" customWidth="1"/>
    <col min="4" max="4" width="13.7109375" style="112" customWidth="1"/>
    <col min="5" max="5" width="13.140625" style="112" bestFit="1" customWidth="1"/>
    <col min="6" max="6" width="13.28515625" style="112" bestFit="1" customWidth="1"/>
    <col min="7" max="7" width="13.7109375" style="112" bestFit="1" customWidth="1"/>
    <col min="8" max="8" width="16.7109375" style="112" bestFit="1" customWidth="1"/>
    <col min="9" max="9" width="13.7109375" style="112" bestFit="1" customWidth="1"/>
    <col min="10" max="10" width="13" style="112" customWidth="1"/>
    <col min="11" max="11" width="11.140625" style="112" bestFit="1" customWidth="1"/>
    <col min="12" max="12" width="14.28515625" style="112" customWidth="1"/>
    <col min="13" max="14" width="21.7109375" style="112" customWidth="1"/>
    <col min="15" max="15" width="12.7109375" style="112" bestFit="1" customWidth="1"/>
    <col min="16" max="16384" width="9.140625" style="112"/>
  </cols>
  <sheetData>
    <row r="1" spans="1:17" ht="89.25" x14ac:dyDescent="0.2">
      <c r="A1" s="98" t="s">
        <v>603</v>
      </c>
      <c r="B1" s="113" t="s">
        <v>2</v>
      </c>
      <c r="C1" s="124" t="s">
        <v>660</v>
      </c>
      <c r="M1" s="117"/>
      <c r="N1" s="117" t="s">
        <v>3</v>
      </c>
    </row>
    <row r="2" spans="1:17" s="121" customFormat="1" x14ac:dyDescent="0.2">
      <c r="A2" s="1"/>
      <c r="C2" s="122"/>
      <c r="D2" s="120" t="s">
        <v>19</v>
      </c>
      <c r="E2" s="120" t="s">
        <v>20</v>
      </c>
      <c r="F2" s="120" t="s">
        <v>21</v>
      </c>
      <c r="G2" s="120" t="s">
        <v>22</v>
      </c>
      <c r="H2" s="120" t="s">
        <v>23</v>
      </c>
      <c r="I2" s="120" t="s">
        <v>24</v>
      </c>
      <c r="J2" s="120" t="s">
        <v>105</v>
      </c>
      <c r="K2" s="120" t="s">
        <v>104</v>
      </c>
      <c r="L2" s="120" t="s">
        <v>103</v>
      </c>
      <c r="M2" s="120" t="s">
        <v>102</v>
      </c>
      <c r="N2" s="117" t="s">
        <v>101</v>
      </c>
      <c r="O2" s="120" t="s">
        <v>31</v>
      </c>
      <c r="P2" s="122"/>
      <c r="Q2" s="122"/>
    </row>
    <row r="3" spans="1:17" s="121" customFormat="1" ht="12" x14ac:dyDescent="0.2">
      <c r="A3" s="2"/>
      <c r="B3" s="123" t="s">
        <v>100</v>
      </c>
      <c r="C3" s="123" t="s">
        <v>99</v>
      </c>
      <c r="D3" s="123" t="s">
        <v>98</v>
      </c>
      <c r="E3" s="123" t="s">
        <v>97</v>
      </c>
      <c r="F3" s="123" t="s">
        <v>96</v>
      </c>
      <c r="G3" s="123" t="s">
        <v>95</v>
      </c>
      <c r="H3" s="123" t="s">
        <v>94</v>
      </c>
      <c r="I3" s="123" t="s">
        <v>93</v>
      </c>
      <c r="J3" s="123" t="s">
        <v>65</v>
      </c>
      <c r="K3" s="123" t="s">
        <v>92</v>
      </c>
      <c r="L3" s="123" t="s">
        <v>91</v>
      </c>
      <c r="M3" s="123" t="s">
        <v>90</v>
      </c>
      <c r="N3" s="116" t="s">
        <v>28</v>
      </c>
      <c r="O3" s="123" t="s">
        <v>89</v>
      </c>
      <c r="P3" s="122"/>
      <c r="Q3" s="122"/>
    </row>
    <row r="4" spans="1:17" x14ac:dyDescent="0.2">
      <c r="A4" s="1">
        <v>5000</v>
      </c>
      <c r="B4" s="112" t="s">
        <v>32</v>
      </c>
      <c r="C4" s="112">
        <v>6663</v>
      </c>
      <c r="D4" s="112">
        <v>26330195</v>
      </c>
      <c r="E4" s="112">
        <v>122040</v>
      </c>
      <c r="F4" s="112">
        <v>8923932</v>
      </c>
      <c r="G4" s="112">
        <v>17528303</v>
      </c>
      <c r="H4" s="112">
        <v>13171251</v>
      </c>
      <c r="I4" s="112">
        <v>20775052</v>
      </c>
      <c r="J4" s="112">
        <v>31344</v>
      </c>
      <c r="K4" s="112">
        <v>31344</v>
      </c>
      <c r="L4" s="112">
        <v>1</v>
      </c>
      <c r="M4" s="112">
        <v>2</v>
      </c>
      <c r="N4" s="112">
        <v>0</v>
      </c>
      <c r="O4" s="112">
        <v>31346</v>
      </c>
    </row>
    <row r="5" spans="1:17" x14ac:dyDescent="0.2">
      <c r="A5" s="1">
        <v>10000</v>
      </c>
      <c r="B5" s="112" t="s">
        <v>33</v>
      </c>
      <c r="C5" s="112">
        <v>7971</v>
      </c>
      <c r="D5" s="112">
        <v>64703691</v>
      </c>
      <c r="E5" s="112">
        <v>254453</v>
      </c>
      <c r="F5" s="112">
        <v>4789451</v>
      </c>
      <c r="G5" s="112">
        <v>60168693</v>
      </c>
      <c r="H5" s="112">
        <v>35127841</v>
      </c>
      <c r="I5" s="112">
        <v>63267072</v>
      </c>
      <c r="J5" s="112">
        <v>39439</v>
      </c>
      <c r="K5" s="112">
        <v>39439</v>
      </c>
      <c r="L5" s="112">
        <v>11</v>
      </c>
      <c r="M5" s="112">
        <v>0</v>
      </c>
      <c r="N5" s="112">
        <v>0</v>
      </c>
      <c r="O5" s="112">
        <v>39430</v>
      </c>
    </row>
    <row r="6" spans="1:17" x14ac:dyDescent="0.2">
      <c r="A6" s="1">
        <v>12000</v>
      </c>
      <c r="B6" s="112" t="s">
        <v>34</v>
      </c>
      <c r="C6" s="112">
        <v>3269</v>
      </c>
      <c r="D6" s="112">
        <v>37948576</v>
      </c>
      <c r="E6" s="112">
        <v>140590</v>
      </c>
      <c r="F6" s="112">
        <v>2177733</v>
      </c>
      <c r="G6" s="112">
        <v>35911433</v>
      </c>
      <c r="H6" s="112">
        <v>19778057</v>
      </c>
      <c r="I6" s="112">
        <v>37088243</v>
      </c>
      <c r="J6" s="112">
        <v>20161</v>
      </c>
      <c r="K6" s="112">
        <v>20161</v>
      </c>
      <c r="L6" s="112">
        <v>130</v>
      </c>
      <c r="M6" s="112">
        <v>1</v>
      </c>
      <c r="N6" s="112">
        <v>0</v>
      </c>
      <c r="O6" s="112">
        <v>20032</v>
      </c>
    </row>
    <row r="7" spans="1:17" x14ac:dyDescent="0.2">
      <c r="A7" s="1">
        <v>15000</v>
      </c>
      <c r="B7" s="112" t="s">
        <v>35</v>
      </c>
      <c r="C7" s="112">
        <v>4472</v>
      </c>
      <c r="D7" s="112">
        <v>63215994</v>
      </c>
      <c r="E7" s="112">
        <v>263681</v>
      </c>
      <c r="F7" s="112">
        <v>3260949</v>
      </c>
      <c r="G7" s="112">
        <v>60218726</v>
      </c>
      <c r="H7" s="112">
        <v>31625328</v>
      </c>
      <c r="I7" s="112">
        <v>61707481</v>
      </c>
      <c r="J7" s="112">
        <v>34617</v>
      </c>
      <c r="K7" s="112">
        <v>34617</v>
      </c>
      <c r="L7" s="112">
        <v>20</v>
      </c>
      <c r="M7" s="112">
        <v>1</v>
      </c>
      <c r="N7" s="112">
        <v>0</v>
      </c>
      <c r="O7" s="112">
        <v>34598</v>
      </c>
    </row>
    <row r="8" spans="1:17" x14ac:dyDescent="0.2">
      <c r="A8" s="1">
        <v>19000</v>
      </c>
      <c r="B8" s="112" t="s">
        <v>36</v>
      </c>
      <c r="C8" s="112">
        <v>5827</v>
      </c>
      <c r="D8" s="112">
        <v>103907663</v>
      </c>
      <c r="E8" s="112">
        <v>557131</v>
      </c>
      <c r="F8" s="112">
        <v>5415567</v>
      </c>
      <c r="G8" s="112">
        <v>99049227</v>
      </c>
      <c r="H8" s="112">
        <v>49416966</v>
      </c>
      <c r="I8" s="112">
        <v>100662292</v>
      </c>
      <c r="J8" s="112">
        <v>146644</v>
      </c>
      <c r="K8" s="112">
        <v>100396</v>
      </c>
      <c r="L8" s="112">
        <v>981</v>
      </c>
      <c r="M8" s="112">
        <v>0</v>
      </c>
      <c r="N8" s="112">
        <v>6</v>
      </c>
      <c r="O8" s="112">
        <v>99914</v>
      </c>
    </row>
    <row r="9" spans="1:17" x14ac:dyDescent="0.2">
      <c r="A9" s="1">
        <v>20000</v>
      </c>
      <c r="B9" s="112" t="s">
        <v>37</v>
      </c>
      <c r="C9" s="112">
        <v>1461</v>
      </c>
      <c r="D9" s="112">
        <v>29793397</v>
      </c>
      <c r="E9" s="112">
        <v>214539</v>
      </c>
      <c r="F9" s="112">
        <v>1524597</v>
      </c>
      <c r="G9" s="112">
        <v>28483339</v>
      </c>
      <c r="H9" s="112">
        <v>14105800</v>
      </c>
      <c r="I9" s="112">
        <v>28786483</v>
      </c>
      <c r="J9" s="112">
        <v>79374</v>
      </c>
      <c r="K9" s="112">
        <v>44165</v>
      </c>
      <c r="L9" s="112">
        <v>462</v>
      </c>
      <c r="M9" s="112">
        <v>0</v>
      </c>
      <c r="N9" s="112">
        <v>0</v>
      </c>
      <c r="O9" s="112">
        <v>43947</v>
      </c>
    </row>
    <row r="10" spans="1:17" x14ac:dyDescent="0.2">
      <c r="A10" s="1">
        <v>24000</v>
      </c>
      <c r="B10" s="112" t="s">
        <v>38</v>
      </c>
      <c r="C10" s="112">
        <v>5512</v>
      </c>
      <c r="D10" s="112">
        <v>126676338</v>
      </c>
      <c r="E10" s="112">
        <v>625924</v>
      </c>
      <c r="F10" s="112">
        <v>6244112</v>
      </c>
      <c r="G10" s="112">
        <v>121058150</v>
      </c>
      <c r="H10" s="112">
        <v>58989672</v>
      </c>
      <c r="I10" s="112">
        <v>122510194</v>
      </c>
      <c r="J10" s="112">
        <v>743188</v>
      </c>
      <c r="K10" s="112">
        <v>391933</v>
      </c>
      <c r="L10" s="112">
        <v>5141</v>
      </c>
      <c r="M10" s="112">
        <v>0</v>
      </c>
      <c r="N10" s="112">
        <v>0</v>
      </c>
      <c r="O10" s="112">
        <v>390546</v>
      </c>
    </row>
    <row r="11" spans="1:17" x14ac:dyDescent="0.2">
      <c r="A11" s="1">
        <v>25000</v>
      </c>
      <c r="B11" s="112" t="s">
        <v>39</v>
      </c>
      <c r="C11" s="112">
        <v>1329</v>
      </c>
      <c r="D11" s="112">
        <v>33933839</v>
      </c>
      <c r="E11" s="112">
        <v>92197</v>
      </c>
      <c r="F11" s="112">
        <v>1466823</v>
      </c>
      <c r="G11" s="112">
        <v>32559213</v>
      </c>
      <c r="H11" s="112">
        <v>15462215</v>
      </c>
      <c r="I11" s="112">
        <v>32958814</v>
      </c>
      <c r="J11" s="112">
        <v>272998</v>
      </c>
      <c r="K11" s="112">
        <v>140639</v>
      </c>
      <c r="L11" s="112">
        <v>1338</v>
      </c>
      <c r="M11" s="112">
        <v>0</v>
      </c>
      <c r="N11" s="112">
        <v>33</v>
      </c>
      <c r="O11" s="112">
        <v>139676</v>
      </c>
    </row>
    <row r="12" spans="1:17" x14ac:dyDescent="0.2">
      <c r="A12" s="1">
        <v>30000</v>
      </c>
      <c r="B12" s="112" t="s">
        <v>40</v>
      </c>
      <c r="C12" s="112">
        <v>6568</v>
      </c>
      <c r="D12" s="112">
        <v>189804486</v>
      </c>
      <c r="E12" s="112">
        <v>1031164</v>
      </c>
      <c r="F12" s="112">
        <v>10256560</v>
      </c>
      <c r="G12" s="112">
        <v>180579090</v>
      </c>
      <c r="H12" s="112">
        <v>89899919</v>
      </c>
      <c r="I12" s="112">
        <v>182096603</v>
      </c>
      <c r="J12" s="112">
        <v>2423452</v>
      </c>
      <c r="K12" s="112">
        <v>1248498</v>
      </c>
      <c r="L12" s="112">
        <v>20457</v>
      </c>
      <c r="M12" s="112">
        <v>1</v>
      </c>
      <c r="N12" s="112">
        <v>0</v>
      </c>
      <c r="O12" s="112">
        <v>1237769</v>
      </c>
    </row>
    <row r="13" spans="1:17" x14ac:dyDescent="0.2">
      <c r="A13" s="1">
        <v>34000</v>
      </c>
      <c r="B13" s="112" t="s">
        <v>41</v>
      </c>
      <c r="C13" s="112">
        <v>4986</v>
      </c>
      <c r="D13" s="112">
        <v>166625780</v>
      </c>
      <c r="E13" s="112">
        <v>938039</v>
      </c>
      <c r="F13" s="112">
        <v>8183601</v>
      </c>
      <c r="G13" s="112">
        <v>159380218</v>
      </c>
      <c r="H13" s="112">
        <v>80854827</v>
      </c>
      <c r="I13" s="112">
        <v>160632669</v>
      </c>
      <c r="J13" s="112">
        <v>3470459</v>
      </c>
      <c r="K13" s="112">
        <v>1788960</v>
      </c>
      <c r="L13" s="112">
        <v>34388</v>
      </c>
      <c r="M13" s="112">
        <v>0</v>
      </c>
      <c r="N13" s="112">
        <v>854</v>
      </c>
      <c r="O13" s="112">
        <v>1760143</v>
      </c>
    </row>
    <row r="14" spans="1:17" x14ac:dyDescent="0.2">
      <c r="A14" s="1">
        <v>35000</v>
      </c>
      <c r="B14" s="112" t="s">
        <v>42</v>
      </c>
      <c r="C14" s="112">
        <v>1239</v>
      </c>
      <c r="D14" s="112">
        <v>43983603</v>
      </c>
      <c r="E14" s="112">
        <v>730045</v>
      </c>
      <c r="F14" s="112">
        <v>1969732</v>
      </c>
      <c r="G14" s="112">
        <v>42743916</v>
      </c>
      <c r="H14" s="112">
        <v>22051581</v>
      </c>
      <c r="I14" s="112">
        <v>42987533</v>
      </c>
      <c r="J14" s="112">
        <v>1163500</v>
      </c>
      <c r="K14" s="112">
        <v>603771</v>
      </c>
      <c r="L14" s="112">
        <v>12644</v>
      </c>
      <c r="M14" s="112">
        <v>0</v>
      </c>
      <c r="N14" s="112">
        <v>0</v>
      </c>
      <c r="O14" s="112">
        <v>593935</v>
      </c>
    </row>
    <row r="15" spans="1:17" x14ac:dyDescent="0.2">
      <c r="A15" s="1">
        <v>40000</v>
      </c>
      <c r="B15" s="112" t="s">
        <v>43</v>
      </c>
      <c r="C15" s="112">
        <v>5683</v>
      </c>
      <c r="D15" s="112">
        <v>221585449</v>
      </c>
      <c r="E15" s="112">
        <v>1804327</v>
      </c>
      <c r="F15" s="112">
        <v>10679946</v>
      </c>
      <c r="G15" s="112">
        <v>212709830</v>
      </c>
      <c r="H15" s="112">
        <v>109720372</v>
      </c>
      <c r="I15" s="112">
        <v>213986449</v>
      </c>
      <c r="J15" s="112">
        <v>6839309</v>
      </c>
      <c r="K15" s="112">
        <v>3538706</v>
      </c>
      <c r="L15" s="112">
        <v>87551</v>
      </c>
      <c r="M15" s="112">
        <v>0</v>
      </c>
      <c r="N15" s="112">
        <v>30</v>
      </c>
      <c r="O15" s="112">
        <v>3472748</v>
      </c>
    </row>
    <row r="16" spans="1:17" x14ac:dyDescent="0.2">
      <c r="A16" s="1">
        <v>44000</v>
      </c>
      <c r="B16" s="112" t="s">
        <v>44</v>
      </c>
      <c r="C16" s="112">
        <v>4143</v>
      </c>
      <c r="D16" s="112">
        <v>180872178</v>
      </c>
      <c r="E16" s="112">
        <v>738136</v>
      </c>
      <c r="F16" s="112">
        <v>7830219</v>
      </c>
      <c r="G16" s="112">
        <v>173780095</v>
      </c>
      <c r="H16" s="112">
        <v>85343348</v>
      </c>
      <c r="I16" s="112">
        <v>175059214</v>
      </c>
      <c r="J16" s="112">
        <v>6680997</v>
      </c>
      <c r="K16" s="112">
        <v>3273492</v>
      </c>
      <c r="L16" s="112">
        <v>101158</v>
      </c>
      <c r="M16" s="112">
        <v>0</v>
      </c>
      <c r="N16" s="112">
        <v>0</v>
      </c>
      <c r="O16" s="112">
        <v>3190867</v>
      </c>
    </row>
    <row r="17" spans="1:15" x14ac:dyDescent="0.2">
      <c r="A17" s="1">
        <v>45000</v>
      </c>
      <c r="B17" s="112" t="s">
        <v>45</v>
      </c>
      <c r="C17" s="112">
        <v>1011</v>
      </c>
      <c r="D17" s="112">
        <v>46283070</v>
      </c>
      <c r="E17" s="112">
        <v>277273</v>
      </c>
      <c r="F17" s="112">
        <v>1555781</v>
      </c>
      <c r="G17" s="112">
        <v>45004562</v>
      </c>
      <c r="H17" s="112">
        <v>23357900</v>
      </c>
      <c r="I17" s="112">
        <v>45252961</v>
      </c>
      <c r="J17" s="112">
        <v>1855469</v>
      </c>
      <c r="K17" s="112">
        <v>958772</v>
      </c>
      <c r="L17" s="112">
        <v>21830</v>
      </c>
      <c r="M17" s="112">
        <v>0</v>
      </c>
      <c r="N17" s="112">
        <v>0</v>
      </c>
      <c r="O17" s="112">
        <v>937976</v>
      </c>
    </row>
    <row r="18" spans="1:15" x14ac:dyDescent="0.2">
      <c r="A18" s="1">
        <v>48000</v>
      </c>
      <c r="B18" s="112" t="s">
        <v>46</v>
      </c>
      <c r="C18" s="112">
        <v>2851</v>
      </c>
      <c r="D18" s="112">
        <v>135546040</v>
      </c>
      <c r="E18" s="112">
        <v>561844</v>
      </c>
      <c r="F18" s="112">
        <v>3608657</v>
      </c>
      <c r="G18" s="112">
        <v>132499227</v>
      </c>
      <c r="H18" s="112">
        <v>65583800</v>
      </c>
      <c r="I18" s="112">
        <v>133165184</v>
      </c>
      <c r="J18" s="112">
        <v>5483955</v>
      </c>
      <c r="K18" s="112">
        <v>2704686</v>
      </c>
      <c r="L18" s="112">
        <v>101278</v>
      </c>
      <c r="M18" s="112">
        <v>0</v>
      </c>
      <c r="N18" s="112">
        <v>0</v>
      </c>
      <c r="O18" s="112">
        <v>2620592</v>
      </c>
    </row>
    <row r="19" spans="1:15" x14ac:dyDescent="0.2">
      <c r="A19" s="1">
        <v>50000</v>
      </c>
      <c r="B19" s="112" t="s">
        <v>47</v>
      </c>
      <c r="C19" s="112">
        <v>1792</v>
      </c>
      <c r="D19" s="112">
        <v>89484640</v>
      </c>
      <c r="E19" s="112">
        <v>641952</v>
      </c>
      <c r="F19" s="112">
        <v>2328268</v>
      </c>
      <c r="G19" s="112">
        <v>87798324</v>
      </c>
      <c r="H19" s="112">
        <v>43710504</v>
      </c>
      <c r="I19" s="112">
        <v>88294166</v>
      </c>
      <c r="J19" s="112">
        <v>3656217</v>
      </c>
      <c r="K19" s="112">
        <v>1813774</v>
      </c>
      <c r="L19" s="112">
        <v>68637</v>
      </c>
      <c r="M19" s="112">
        <v>0</v>
      </c>
      <c r="N19" s="112">
        <v>0</v>
      </c>
      <c r="O19" s="112">
        <v>1754750</v>
      </c>
    </row>
    <row r="20" spans="1:15" x14ac:dyDescent="0.2">
      <c r="A20" s="1">
        <v>60000</v>
      </c>
      <c r="B20" s="112" t="s">
        <v>48</v>
      </c>
      <c r="C20" s="112">
        <v>8243</v>
      </c>
      <c r="D20" s="112">
        <v>459429193</v>
      </c>
      <c r="E20" s="112">
        <v>1457694</v>
      </c>
      <c r="F20" s="112">
        <v>8516523</v>
      </c>
      <c r="G20" s="112">
        <v>452370364</v>
      </c>
      <c r="H20" s="112">
        <v>231278807</v>
      </c>
      <c r="I20" s="112">
        <v>454634915</v>
      </c>
      <c r="J20" s="112">
        <v>19258249</v>
      </c>
      <c r="K20" s="112">
        <v>9826627</v>
      </c>
      <c r="L20" s="112">
        <v>369463</v>
      </c>
      <c r="M20" s="112">
        <v>0</v>
      </c>
      <c r="N20" s="112">
        <v>83</v>
      </c>
      <c r="O20" s="112">
        <v>9492510</v>
      </c>
    </row>
    <row r="21" spans="1:15" x14ac:dyDescent="0.2">
      <c r="A21" s="1">
        <v>74000</v>
      </c>
      <c r="B21" s="112" t="s">
        <v>49</v>
      </c>
      <c r="C21" s="112">
        <v>9641</v>
      </c>
      <c r="D21" s="112">
        <v>652708378</v>
      </c>
      <c r="E21" s="112">
        <v>2112039</v>
      </c>
      <c r="F21" s="112">
        <v>11745793</v>
      </c>
      <c r="G21" s="112">
        <v>643074624</v>
      </c>
      <c r="H21" s="112">
        <v>325814888</v>
      </c>
      <c r="I21" s="112">
        <v>644720432</v>
      </c>
      <c r="J21" s="112">
        <v>31137627</v>
      </c>
      <c r="K21" s="112">
        <v>15743992</v>
      </c>
      <c r="L21" s="112">
        <v>713953</v>
      </c>
      <c r="M21" s="112">
        <v>1</v>
      </c>
      <c r="N21" s="112">
        <v>820</v>
      </c>
      <c r="O21" s="112">
        <v>15107033</v>
      </c>
    </row>
    <row r="22" spans="1:15" x14ac:dyDescent="0.2">
      <c r="A22" s="1">
        <v>75000</v>
      </c>
      <c r="B22" s="112" t="s">
        <v>50</v>
      </c>
      <c r="C22" s="112">
        <v>625</v>
      </c>
      <c r="D22" s="112">
        <v>47396430</v>
      </c>
      <c r="E22" s="112">
        <v>71120</v>
      </c>
      <c r="F22" s="112">
        <v>913441</v>
      </c>
      <c r="G22" s="112">
        <v>46554109</v>
      </c>
      <c r="H22" s="112">
        <v>22601476</v>
      </c>
      <c r="I22" s="112">
        <v>46695977</v>
      </c>
      <c r="J22" s="112">
        <v>2337502</v>
      </c>
      <c r="K22" s="112">
        <v>1132018</v>
      </c>
      <c r="L22" s="112">
        <v>66810</v>
      </c>
      <c r="M22" s="112">
        <v>0</v>
      </c>
      <c r="N22" s="112">
        <v>0</v>
      </c>
      <c r="O22" s="112">
        <v>1071494</v>
      </c>
    </row>
    <row r="23" spans="1:15" x14ac:dyDescent="0.2">
      <c r="A23" s="1">
        <v>96000</v>
      </c>
      <c r="B23" s="112" t="s">
        <v>51</v>
      </c>
      <c r="C23" s="112">
        <v>9912</v>
      </c>
      <c r="D23" s="112">
        <v>849779403</v>
      </c>
      <c r="E23" s="112">
        <v>3344296</v>
      </c>
      <c r="F23" s="112">
        <v>13992803</v>
      </c>
      <c r="G23" s="112">
        <v>839130896</v>
      </c>
      <c r="H23" s="112">
        <v>405974376</v>
      </c>
      <c r="I23" s="112">
        <v>841582850</v>
      </c>
      <c r="J23" s="112">
        <v>43056658</v>
      </c>
      <c r="K23" s="112">
        <v>20779006</v>
      </c>
      <c r="L23" s="112">
        <v>1156128</v>
      </c>
      <c r="M23" s="112">
        <v>4116</v>
      </c>
      <c r="N23" s="112">
        <v>5265</v>
      </c>
      <c r="O23" s="112">
        <v>19762370</v>
      </c>
    </row>
    <row r="24" spans="1:15" x14ac:dyDescent="0.2">
      <c r="A24" s="1">
        <v>100000</v>
      </c>
      <c r="B24" s="112" t="s">
        <v>52</v>
      </c>
      <c r="C24" s="112">
        <v>1299</v>
      </c>
      <c r="D24" s="112">
        <v>128708714</v>
      </c>
      <c r="E24" s="112">
        <v>823103</v>
      </c>
      <c r="F24" s="112">
        <v>2370170</v>
      </c>
      <c r="G24" s="112">
        <v>127161647</v>
      </c>
      <c r="H24" s="112">
        <v>60606530</v>
      </c>
      <c r="I24" s="112">
        <v>127879937</v>
      </c>
      <c r="J24" s="112">
        <v>6691362</v>
      </c>
      <c r="K24" s="112">
        <v>3178843</v>
      </c>
      <c r="L24" s="112">
        <v>222484</v>
      </c>
      <c r="M24" s="112">
        <v>0</v>
      </c>
      <c r="N24" s="112">
        <v>0</v>
      </c>
      <c r="O24" s="112">
        <v>2977508</v>
      </c>
    </row>
    <row r="25" spans="1:15" x14ac:dyDescent="0.2">
      <c r="A25" s="1">
        <v>150000</v>
      </c>
      <c r="B25" s="112" t="s">
        <v>53</v>
      </c>
      <c r="C25" s="112">
        <v>9535</v>
      </c>
      <c r="D25" s="112">
        <v>1162807122</v>
      </c>
      <c r="E25" s="112">
        <v>6179037</v>
      </c>
      <c r="F25" s="112">
        <v>17738097</v>
      </c>
      <c r="G25" s="112">
        <v>1151248062</v>
      </c>
      <c r="H25" s="112">
        <v>510356271</v>
      </c>
      <c r="I25" s="112">
        <v>1153469619</v>
      </c>
      <c r="J25" s="112">
        <v>62055834</v>
      </c>
      <c r="K25" s="112">
        <v>27456565</v>
      </c>
      <c r="L25" s="112">
        <v>2062344</v>
      </c>
      <c r="M25" s="112">
        <v>114</v>
      </c>
      <c r="N25" s="112">
        <v>96</v>
      </c>
      <c r="O25" s="112">
        <v>25585984</v>
      </c>
    </row>
    <row r="26" spans="1:15" x14ac:dyDescent="0.2">
      <c r="A26" s="1">
        <v>200000</v>
      </c>
      <c r="B26" s="112" t="s">
        <v>54</v>
      </c>
      <c r="C26" s="112">
        <v>3921</v>
      </c>
      <c r="D26" s="112">
        <v>678162390</v>
      </c>
      <c r="E26" s="112">
        <v>5465490</v>
      </c>
      <c r="F26" s="112">
        <v>10120817</v>
      </c>
      <c r="G26" s="112">
        <v>673507063</v>
      </c>
      <c r="H26" s="112">
        <v>262477958</v>
      </c>
      <c r="I26" s="112">
        <v>674581743</v>
      </c>
      <c r="J26" s="112">
        <v>37548430</v>
      </c>
      <c r="K26" s="112">
        <v>14617716</v>
      </c>
      <c r="L26" s="112">
        <v>1354922</v>
      </c>
      <c r="M26" s="112">
        <v>0</v>
      </c>
      <c r="N26" s="112">
        <v>0</v>
      </c>
      <c r="O26" s="112">
        <v>13417631</v>
      </c>
    </row>
    <row r="27" spans="1:15" x14ac:dyDescent="0.2">
      <c r="A27" s="1">
        <v>250000</v>
      </c>
      <c r="B27" s="112" t="s">
        <v>55</v>
      </c>
      <c r="C27" s="112">
        <v>1916</v>
      </c>
      <c r="D27" s="112">
        <v>428260622</v>
      </c>
      <c r="E27" s="112">
        <v>4359544</v>
      </c>
      <c r="F27" s="112">
        <v>5847036</v>
      </c>
      <c r="G27" s="112">
        <v>426773130</v>
      </c>
      <c r="H27" s="112">
        <v>162279383</v>
      </c>
      <c r="I27" s="112">
        <v>427264649</v>
      </c>
      <c r="J27" s="112">
        <v>25299089</v>
      </c>
      <c r="K27" s="112">
        <v>9621614</v>
      </c>
      <c r="L27" s="112">
        <v>972474</v>
      </c>
      <c r="M27" s="112">
        <v>0</v>
      </c>
      <c r="N27" s="112">
        <v>464</v>
      </c>
      <c r="O27" s="112">
        <v>8744280</v>
      </c>
    </row>
    <row r="28" spans="1:15" x14ac:dyDescent="0.2">
      <c r="A28" s="1">
        <v>350000</v>
      </c>
      <c r="B28" s="112" t="s">
        <v>56</v>
      </c>
      <c r="C28" s="112">
        <v>1932</v>
      </c>
      <c r="D28" s="112">
        <v>567651928</v>
      </c>
      <c r="E28" s="112">
        <v>6894198</v>
      </c>
      <c r="F28" s="112">
        <v>8507014</v>
      </c>
      <c r="G28" s="112">
        <v>566039112</v>
      </c>
      <c r="H28" s="112">
        <v>196157167</v>
      </c>
      <c r="I28" s="112">
        <v>567156890</v>
      </c>
      <c r="J28" s="112">
        <v>37150731</v>
      </c>
      <c r="K28" s="112">
        <v>12855725</v>
      </c>
      <c r="L28" s="112">
        <v>1214703</v>
      </c>
      <c r="M28" s="112">
        <v>0</v>
      </c>
      <c r="N28" s="112">
        <v>7</v>
      </c>
      <c r="O28" s="112">
        <v>11717093</v>
      </c>
    </row>
    <row r="29" spans="1:15" x14ac:dyDescent="0.2">
      <c r="A29" s="1">
        <v>500000</v>
      </c>
      <c r="B29" s="112" t="s">
        <v>57</v>
      </c>
      <c r="C29" s="112">
        <v>1371</v>
      </c>
      <c r="D29" s="112">
        <v>567124408</v>
      </c>
      <c r="E29" s="112">
        <v>10612931</v>
      </c>
      <c r="F29" s="112">
        <v>8876023</v>
      </c>
      <c r="G29" s="112">
        <v>568861316</v>
      </c>
      <c r="H29" s="112">
        <v>167281402</v>
      </c>
      <c r="I29" s="112">
        <v>570282518</v>
      </c>
      <c r="J29" s="112">
        <v>39283263</v>
      </c>
      <c r="K29" s="112">
        <v>11524865</v>
      </c>
      <c r="L29" s="112">
        <v>1099354</v>
      </c>
      <c r="M29" s="112">
        <v>0</v>
      </c>
      <c r="N29" s="112">
        <v>604</v>
      </c>
      <c r="O29" s="112">
        <v>10465153</v>
      </c>
    </row>
    <row r="30" spans="1:15" x14ac:dyDescent="0.2">
      <c r="A30" s="1">
        <v>1000000</v>
      </c>
      <c r="B30" s="112" t="s">
        <v>58</v>
      </c>
      <c r="C30" s="112">
        <v>1436</v>
      </c>
      <c r="D30" s="112">
        <v>989480865</v>
      </c>
      <c r="E30" s="112">
        <v>31647339</v>
      </c>
      <c r="F30" s="112">
        <v>19476167</v>
      </c>
      <c r="G30" s="112">
        <v>1001652037</v>
      </c>
      <c r="H30" s="112">
        <v>194926740</v>
      </c>
      <c r="I30" s="112">
        <v>1002515747</v>
      </c>
      <c r="J30" s="112">
        <v>69960162</v>
      </c>
      <c r="K30" s="112">
        <v>13601828</v>
      </c>
      <c r="L30" s="112">
        <v>1406243</v>
      </c>
      <c r="M30" s="112">
        <v>0</v>
      </c>
      <c r="N30" s="112">
        <v>1461</v>
      </c>
      <c r="O30" s="112">
        <v>12342456</v>
      </c>
    </row>
    <row r="31" spans="1:15" x14ac:dyDescent="0.2">
      <c r="A31" s="1">
        <v>2000000</v>
      </c>
      <c r="B31" s="112" t="s">
        <v>59</v>
      </c>
      <c r="C31" s="112">
        <v>745</v>
      </c>
      <c r="D31" s="112">
        <v>1031191388</v>
      </c>
      <c r="E31" s="112">
        <v>35412677</v>
      </c>
      <c r="F31" s="112">
        <v>17532547</v>
      </c>
      <c r="G31" s="112">
        <v>1049071518</v>
      </c>
      <c r="H31" s="112">
        <v>145669994</v>
      </c>
      <c r="I31" s="112">
        <v>1050320297</v>
      </c>
      <c r="J31" s="112">
        <v>73380136</v>
      </c>
      <c r="K31" s="112">
        <v>10177006</v>
      </c>
      <c r="L31" s="112">
        <v>698338</v>
      </c>
      <c r="M31" s="112">
        <v>0</v>
      </c>
      <c r="N31" s="112">
        <v>0</v>
      </c>
      <c r="O31" s="112">
        <v>9771776</v>
      </c>
    </row>
    <row r="32" spans="1:15" x14ac:dyDescent="0.2">
      <c r="A32" s="1">
        <v>2000001</v>
      </c>
      <c r="B32" s="112" t="s">
        <v>60</v>
      </c>
      <c r="C32" s="112">
        <v>911</v>
      </c>
      <c r="D32" s="112">
        <v>17131583691</v>
      </c>
      <c r="E32" s="112">
        <v>667747823</v>
      </c>
      <c r="F32" s="112">
        <v>342932300</v>
      </c>
      <c r="G32" s="112">
        <v>17456399214</v>
      </c>
      <c r="H32" s="112">
        <v>368634625</v>
      </c>
      <c r="I32" s="112">
        <v>17458029456</v>
      </c>
      <c r="J32" s="112">
        <v>1220270698</v>
      </c>
      <c r="K32" s="112">
        <v>25752568</v>
      </c>
      <c r="L32" s="112">
        <v>1852517</v>
      </c>
      <c r="M32" s="112">
        <v>10</v>
      </c>
      <c r="N32" s="112">
        <v>6279</v>
      </c>
      <c r="O32" s="112">
        <v>26883375</v>
      </c>
    </row>
    <row r="34" spans="1:15" x14ac:dyDescent="0.2">
      <c r="A34" s="4"/>
      <c r="B34" s="112" t="s">
        <v>61</v>
      </c>
      <c r="C34" s="112">
        <v>116264</v>
      </c>
      <c r="D34" s="112">
        <v>26254979471</v>
      </c>
      <c r="E34" s="112">
        <v>785120626</v>
      </c>
      <c r="F34" s="112">
        <v>548784659</v>
      </c>
      <c r="G34" s="112">
        <v>26491315438</v>
      </c>
      <c r="H34" s="112">
        <v>3812258998</v>
      </c>
      <c r="I34" s="112">
        <v>26528365440</v>
      </c>
      <c r="J34" s="112">
        <v>1700370864</v>
      </c>
      <c r="K34" s="112">
        <v>193001726</v>
      </c>
      <c r="L34" s="112">
        <v>13645760</v>
      </c>
      <c r="M34" s="112">
        <v>4246</v>
      </c>
      <c r="N34" s="112">
        <v>16002</v>
      </c>
      <c r="O34" s="112">
        <v>183706932</v>
      </c>
    </row>
    <row r="36" spans="1:15" x14ac:dyDescent="0.2">
      <c r="C36" s="119"/>
      <c r="D36" s="119"/>
      <c r="E36" s="119"/>
      <c r="F36" s="119"/>
      <c r="G36" s="119"/>
      <c r="H36" s="119"/>
      <c r="I36" s="119"/>
      <c r="J36" s="119"/>
      <c r="K36" s="119"/>
      <c r="L36" s="119"/>
      <c r="M36" s="119"/>
      <c r="N36" s="119"/>
      <c r="O36" s="119"/>
    </row>
  </sheetData>
  <pageMargins left="0.75" right="0.75" top="1" bottom="1" header="0.5" footer="0.5"/>
  <pageSetup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3681B-A605-455A-B6DE-7FE40CA014A1}">
  <sheetPr>
    <tabColor theme="7"/>
  </sheetPr>
  <dimension ref="A1:Q36"/>
  <sheetViews>
    <sheetView workbookViewId="0"/>
  </sheetViews>
  <sheetFormatPr defaultColWidth="9.140625" defaultRowHeight="12.75" x14ac:dyDescent="0.2"/>
  <cols>
    <col min="1" max="1" width="22.7109375" style="1" customWidth="1"/>
    <col min="2" max="2" width="25.7109375" style="112" bestFit="1" customWidth="1"/>
    <col min="3" max="3" width="15.7109375" style="112" customWidth="1"/>
    <col min="4" max="4" width="14.28515625" style="112" customWidth="1"/>
    <col min="5" max="5" width="13.140625" style="112" bestFit="1" customWidth="1"/>
    <col min="6" max="6" width="13.28515625" style="112" bestFit="1" customWidth="1"/>
    <col min="7" max="7" width="14.7109375" style="112" customWidth="1"/>
    <col min="8" max="8" width="16.7109375" style="112" bestFit="1" customWidth="1"/>
    <col min="9" max="9" width="14.7109375" style="112" customWidth="1"/>
    <col min="10" max="10" width="12.7109375" style="112" bestFit="1" customWidth="1"/>
    <col min="11" max="11" width="11.140625" style="112" bestFit="1" customWidth="1"/>
    <col min="12" max="12" width="14.140625" style="112" customWidth="1"/>
    <col min="13" max="13" width="22.28515625" style="112" customWidth="1"/>
    <col min="14" max="14" width="23.28515625" style="112" customWidth="1"/>
    <col min="15" max="15" width="12.7109375" style="112" bestFit="1" customWidth="1"/>
    <col min="16" max="16384" width="9.140625" style="112"/>
  </cols>
  <sheetData>
    <row r="1" spans="1:17" ht="89.25" x14ac:dyDescent="0.2">
      <c r="A1" s="98" t="s">
        <v>603</v>
      </c>
      <c r="B1" s="113" t="s">
        <v>62</v>
      </c>
      <c r="C1" s="124" t="s">
        <v>660</v>
      </c>
      <c r="M1" s="117"/>
      <c r="N1" s="117" t="s">
        <v>3</v>
      </c>
    </row>
    <row r="2" spans="1:17" s="121" customFormat="1" x14ac:dyDescent="0.2">
      <c r="A2" s="1"/>
      <c r="C2" s="122"/>
      <c r="D2" s="120" t="s">
        <v>19</v>
      </c>
      <c r="E2" s="120" t="s">
        <v>20</v>
      </c>
      <c r="F2" s="120" t="s">
        <v>21</v>
      </c>
      <c r="G2" s="120" t="s">
        <v>22</v>
      </c>
      <c r="H2" s="120" t="s">
        <v>23</v>
      </c>
      <c r="I2" s="120" t="s">
        <v>24</v>
      </c>
      <c r="J2" s="120" t="s">
        <v>105</v>
      </c>
      <c r="K2" s="120" t="s">
        <v>104</v>
      </c>
      <c r="L2" s="120" t="s">
        <v>103</v>
      </c>
      <c r="M2" s="120" t="s">
        <v>102</v>
      </c>
      <c r="N2" s="117" t="s">
        <v>101</v>
      </c>
      <c r="O2" s="120" t="s">
        <v>31</v>
      </c>
      <c r="P2" s="122"/>
      <c r="Q2" s="122"/>
    </row>
    <row r="3" spans="1:17" s="121" customFormat="1" ht="12" x14ac:dyDescent="0.2">
      <c r="A3" s="2"/>
      <c r="B3" s="123" t="s">
        <v>100</v>
      </c>
      <c r="C3" s="123" t="s">
        <v>99</v>
      </c>
      <c r="D3" s="123" t="s">
        <v>98</v>
      </c>
      <c r="E3" s="123" t="s">
        <v>97</v>
      </c>
      <c r="F3" s="123" t="s">
        <v>96</v>
      </c>
      <c r="G3" s="123" t="s">
        <v>95</v>
      </c>
      <c r="H3" s="123" t="s">
        <v>94</v>
      </c>
      <c r="I3" s="123" t="s">
        <v>93</v>
      </c>
      <c r="J3" s="123" t="s">
        <v>65</v>
      </c>
      <c r="K3" s="123" t="s">
        <v>92</v>
      </c>
      <c r="L3" s="123" t="s">
        <v>91</v>
      </c>
      <c r="M3" s="123" t="s">
        <v>90</v>
      </c>
      <c r="N3" s="116" t="s">
        <v>28</v>
      </c>
      <c r="O3" s="123" t="s">
        <v>89</v>
      </c>
      <c r="P3" s="122"/>
      <c r="Q3" s="122"/>
    </row>
    <row r="4" spans="1:17" x14ac:dyDescent="0.2">
      <c r="A4" s="1">
        <v>5000</v>
      </c>
      <c r="B4" s="112" t="s">
        <v>32</v>
      </c>
      <c r="C4" s="112">
        <v>602</v>
      </c>
      <c r="D4" s="112">
        <v>16424089</v>
      </c>
      <c r="E4" s="112">
        <v>18258</v>
      </c>
      <c r="F4" s="112">
        <v>14986902</v>
      </c>
      <c r="G4" s="112">
        <v>1455445</v>
      </c>
      <c r="H4" s="112">
        <v>3092530</v>
      </c>
      <c r="I4" s="112">
        <v>4041374</v>
      </c>
      <c r="J4" s="112">
        <v>48194</v>
      </c>
      <c r="K4" s="112">
        <v>48194</v>
      </c>
      <c r="L4" s="112">
        <v>471</v>
      </c>
      <c r="M4" s="112">
        <v>0</v>
      </c>
      <c r="N4" s="112">
        <v>0</v>
      </c>
      <c r="O4" s="112">
        <v>47723</v>
      </c>
    </row>
    <row r="5" spans="1:17" x14ac:dyDescent="0.2">
      <c r="A5" s="1">
        <v>10000</v>
      </c>
      <c r="B5" s="112" t="s">
        <v>33</v>
      </c>
      <c r="C5" s="112">
        <v>746</v>
      </c>
      <c r="D5" s="112">
        <v>14251041</v>
      </c>
      <c r="E5" s="112">
        <v>164644</v>
      </c>
      <c r="F5" s="112">
        <v>8679215</v>
      </c>
      <c r="G5" s="112">
        <v>5736470</v>
      </c>
      <c r="H5" s="112">
        <v>4187865</v>
      </c>
      <c r="I5" s="112">
        <v>7529133</v>
      </c>
      <c r="J5" s="112">
        <v>34532</v>
      </c>
      <c r="K5" s="112">
        <v>34532</v>
      </c>
      <c r="L5" s="112">
        <v>0</v>
      </c>
      <c r="M5" s="112">
        <v>0</v>
      </c>
      <c r="N5" s="112">
        <v>0</v>
      </c>
      <c r="O5" s="112">
        <v>34532</v>
      </c>
    </row>
    <row r="6" spans="1:17" x14ac:dyDescent="0.2">
      <c r="A6" s="1">
        <v>12000</v>
      </c>
      <c r="B6" s="112" t="s">
        <v>34</v>
      </c>
      <c r="C6" s="112">
        <v>382</v>
      </c>
      <c r="D6" s="112">
        <v>8188159</v>
      </c>
      <c r="E6" s="112">
        <v>73481</v>
      </c>
      <c r="F6" s="112">
        <v>4064306</v>
      </c>
      <c r="G6" s="112">
        <v>4197334</v>
      </c>
      <c r="H6" s="112">
        <v>2614594</v>
      </c>
      <c r="I6" s="112">
        <v>4836162</v>
      </c>
      <c r="J6" s="112">
        <v>8651</v>
      </c>
      <c r="K6" s="112">
        <v>8651</v>
      </c>
      <c r="L6" s="112">
        <v>0</v>
      </c>
      <c r="M6" s="112">
        <v>0</v>
      </c>
      <c r="N6" s="112">
        <v>0</v>
      </c>
      <c r="O6" s="112">
        <v>8651</v>
      </c>
    </row>
    <row r="7" spans="1:17" x14ac:dyDescent="0.2">
      <c r="A7" s="1">
        <v>15000</v>
      </c>
      <c r="B7" s="112" t="s">
        <v>35</v>
      </c>
      <c r="C7" s="112">
        <v>627</v>
      </c>
      <c r="D7" s="112">
        <v>13283628</v>
      </c>
      <c r="E7" s="112">
        <v>50575</v>
      </c>
      <c r="F7" s="112">
        <v>4855592</v>
      </c>
      <c r="G7" s="112">
        <v>8478611</v>
      </c>
      <c r="H7" s="112">
        <v>5226165</v>
      </c>
      <c r="I7" s="112">
        <v>9536584</v>
      </c>
      <c r="J7" s="112">
        <v>22079</v>
      </c>
      <c r="K7" s="112">
        <v>22079</v>
      </c>
      <c r="L7" s="112">
        <v>189</v>
      </c>
      <c r="M7" s="112">
        <v>0</v>
      </c>
      <c r="N7" s="112">
        <v>0</v>
      </c>
      <c r="O7" s="112">
        <v>21890</v>
      </c>
    </row>
    <row r="8" spans="1:17" x14ac:dyDescent="0.2">
      <c r="A8" s="1">
        <v>19000</v>
      </c>
      <c r="B8" s="112" t="s">
        <v>36</v>
      </c>
      <c r="C8" s="112">
        <v>1008</v>
      </c>
      <c r="D8" s="112">
        <v>24592085</v>
      </c>
      <c r="E8" s="112">
        <v>139743</v>
      </c>
      <c r="F8" s="112">
        <v>7544996</v>
      </c>
      <c r="G8" s="112">
        <v>17186832</v>
      </c>
      <c r="H8" s="112">
        <v>9214224</v>
      </c>
      <c r="I8" s="112">
        <v>18321580</v>
      </c>
      <c r="J8" s="112">
        <v>24326</v>
      </c>
      <c r="K8" s="112">
        <v>24326</v>
      </c>
      <c r="L8" s="112">
        <v>0</v>
      </c>
      <c r="M8" s="112">
        <v>0</v>
      </c>
      <c r="N8" s="112">
        <v>0</v>
      </c>
      <c r="O8" s="112">
        <v>24326</v>
      </c>
    </row>
    <row r="9" spans="1:17" x14ac:dyDescent="0.2">
      <c r="A9" s="1">
        <v>20000</v>
      </c>
      <c r="B9" s="112" t="s">
        <v>37</v>
      </c>
      <c r="C9" s="112">
        <v>278</v>
      </c>
      <c r="D9" s="112">
        <v>7351553</v>
      </c>
      <c r="E9" s="112">
        <v>42890</v>
      </c>
      <c r="F9" s="112">
        <v>1966574</v>
      </c>
      <c r="G9" s="112">
        <v>5427869</v>
      </c>
      <c r="H9" s="112">
        <v>2800545</v>
      </c>
      <c r="I9" s="112">
        <v>5609977</v>
      </c>
      <c r="J9" s="112">
        <v>2201</v>
      </c>
      <c r="K9" s="112">
        <v>2201</v>
      </c>
      <c r="L9" s="112">
        <v>0</v>
      </c>
      <c r="M9" s="112">
        <v>0</v>
      </c>
      <c r="N9" s="112">
        <v>0</v>
      </c>
      <c r="O9" s="112">
        <v>2201</v>
      </c>
    </row>
    <row r="10" spans="1:17" x14ac:dyDescent="0.2">
      <c r="A10" s="1">
        <v>24000</v>
      </c>
      <c r="B10" s="112" t="s">
        <v>38</v>
      </c>
      <c r="C10" s="112">
        <v>1222</v>
      </c>
      <c r="D10" s="112">
        <v>33801333</v>
      </c>
      <c r="E10" s="112">
        <v>216877</v>
      </c>
      <c r="F10" s="112">
        <v>7126190</v>
      </c>
      <c r="G10" s="112">
        <v>26892020</v>
      </c>
      <c r="H10" s="112">
        <v>13996309</v>
      </c>
      <c r="I10" s="112">
        <v>28231420</v>
      </c>
      <c r="J10" s="112">
        <v>44626</v>
      </c>
      <c r="K10" s="112">
        <v>44626</v>
      </c>
      <c r="L10" s="112">
        <v>0</v>
      </c>
      <c r="M10" s="112">
        <v>0</v>
      </c>
      <c r="N10" s="112">
        <v>0</v>
      </c>
      <c r="O10" s="112">
        <v>44626</v>
      </c>
    </row>
    <row r="11" spans="1:17" x14ac:dyDescent="0.2">
      <c r="A11" s="1">
        <v>25000</v>
      </c>
      <c r="B11" s="112" t="s">
        <v>39</v>
      </c>
      <c r="C11" s="112">
        <v>323</v>
      </c>
      <c r="D11" s="112">
        <v>10555146</v>
      </c>
      <c r="E11" s="112">
        <v>16232</v>
      </c>
      <c r="F11" s="112">
        <v>2659259</v>
      </c>
      <c r="G11" s="112">
        <v>7912119</v>
      </c>
      <c r="H11" s="112">
        <v>3718985</v>
      </c>
      <c r="I11" s="112">
        <v>8027589</v>
      </c>
      <c r="J11" s="112">
        <v>3170</v>
      </c>
      <c r="K11" s="112">
        <v>2505</v>
      </c>
      <c r="L11" s="112">
        <v>4</v>
      </c>
      <c r="M11" s="112">
        <v>0</v>
      </c>
      <c r="N11" s="112">
        <v>0</v>
      </c>
      <c r="O11" s="112">
        <v>2501</v>
      </c>
    </row>
    <row r="12" spans="1:17" x14ac:dyDescent="0.2">
      <c r="A12" s="1">
        <v>30000</v>
      </c>
      <c r="B12" s="112" t="s">
        <v>40</v>
      </c>
      <c r="C12" s="112">
        <v>1646</v>
      </c>
      <c r="D12" s="112">
        <v>57638173</v>
      </c>
      <c r="E12" s="112">
        <v>404483</v>
      </c>
      <c r="F12" s="112">
        <v>12790418</v>
      </c>
      <c r="G12" s="112">
        <v>45252238</v>
      </c>
      <c r="H12" s="112">
        <v>21439194</v>
      </c>
      <c r="I12" s="112">
        <v>46653730</v>
      </c>
      <c r="J12" s="112">
        <v>98604</v>
      </c>
      <c r="K12" s="112">
        <v>74495</v>
      </c>
      <c r="L12" s="112">
        <v>206</v>
      </c>
      <c r="M12" s="112">
        <v>14</v>
      </c>
      <c r="N12" s="112">
        <v>0</v>
      </c>
      <c r="O12" s="112">
        <v>75015</v>
      </c>
    </row>
    <row r="13" spans="1:17" x14ac:dyDescent="0.2">
      <c r="A13" s="1">
        <v>34000</v>
      </c>
      <c r="B13" s="112" t="s">
        <v>41</v>
      </c>
      <c r="C13" s="112">
        <v>1332</v>
      </c>
      <c r="D13" s="112">
        <v>55053946</v>
      </c>
      <c r="E13" s="112">
        <v>272690</v>
      </c>
      <c r="F13" s="112">
        <v>12703582</v>
      </c>
      <c r="G13" s="112">
        <v>42623054</v>
      </c>
      <c r="H13" s="112">
        <v>19356472</v>
      </c>
      <c r="I13" s="112">
        <v>43475367</v>
      </c>
      <c r="J13" s="112">
        <v>194622</v>
      </c>
      <c r="K13" s="112">
        <v>104329</v>
      </c>
      <c r="L13" s="112">
        <v>95</v>
      </c>
      <c r="M13" s="112">
        <v>0</v>
      </c>
      <c r="N13" s="112">
        <v>0</v>
      </c>
      <c r="O13" s="112">
        <v>107210</v>
      </c>
    </row>
    <row r="14" spans="1:17" x14ac:dyDescent="0.2">
      <c r="A14" s="1">
        <v>35000</v>
      </c>
      <c r="B14" s="112" t="s">
        <v>42</v>
      </c>
      <c r="C14" s="112">
        <v>343</v>
      </c>
      <c r="D14" s="112">
        <v>15365297</v>
      </c>
      <c r="E14" s="112">
        <v>139970</v>
      </c>
      <c r="F14" s="112">
        <v>3673931</v>
      </c>
      <c r="G14" s="112">
        <v>11831336</v>
      </c>
      <c r="H14" s="112">
        <v>5006452</v>
      </c>
      <c r="I14" s="112">
        <v>12207397</v>
      </c>
      <c r="J14" s="112">
        <v>91250</v>
      </c>
      <c r="K14" s="112">
        <v>48522</v>
      </c>
      <c r="L14" s="112">
        <v>120</v>
      </c>
      <c r="M14" s="112">
        <v>0</v>
      </c>
      <c r="N14" s="112">
        <v>0</v>
      </c>
      <c r="O14" s="112">
        <v>49128</v>
      </c>
    </row>
    <row r="15" spans="1:17" x14ac:dyDescent="0.2">
      <c r="A15" s="1">
        <v>40000</v>
      </c>
      <c r="B15" s="112" t="s">
        <v>43</v>
      </c>
      <c r="C15" s="112">
        <v>1715</v>
      </c>
      <c r="D15" s="112">
        <v>81190116</v>
      </c>
      <c r="E15" s="112">
        <v>833199</v>
      </c>
      <c r="F15" s="112">
        <v>17820167</v>
      </c>
      <c r="G15" s="112">
        <v>64203148</v>
      </c>
      <c r="H15" s="112">
        <v>27552550</v>
      </c>
      <c r="I15" s="112">
        <v>65140891</v>
      </c>
      <c r="J15" s="112">
        <v>503720</v>
      </c>
      <c r="K15" s="112">
        <v>240234</v>
      </c>
      <c r="L15" s="112">
        <v>1123</v>
      </c>
      <c r="M15" s="112">
        <v>0</v>
      </c>
      <c r="N15" s="112">
        <v>0</v>
      </c>
      <c r="O15" s="112">
        <v>245066</v>
      </c>
    </row>
    <row r="16" spans="1:17" x14ac:dyDescent="0.2">
      <c r="A16" s="1">
        <v>44000</v>
      </c>
      <c r="B16" s="112" t="s">
        <v>44</v>
      </c>
      <c r="C16" s="112">
        <v>1319</v>
      </c>
      <c r="D16" s="112">
        <v>68044682</v>
      </c>
      <c r="E16" s="112">
        <v>590183</v>
      </c>
      <c r="F16" s="112">
        <v>13224672</v>
      </c>
      <c r="G16" s="112">
        <v>55410193</v>
      </c>
      <c r="H16" s="112">
        <v>24107690</v>
      </c>
      <c r="I16" s="112">
        <v>56296491</v>
      </c>
      <c r="J16" s="112">
        <v>639347</v>
      </c>
      <c r="K16" s="112">
        <v>301134</v>
      </c>
      <c r="L16" s="112">
        <v>2977</v>
      </c>
      <c r="M16" s="112">
        <v>0</v>
      </c>
      <c r="N16" s="112">
        <v>0</v>
      </c>
      <c r="O16" s="112">
        <v>302013</v>
      </c>
    </row>
    <row r="17" spans="1:15" x14ac:dyDescent="0.2">
      <c r="A17" s="1">
        <v>45000</v>
      </c>
      <c r="B17" s="112" t="s">
        <v>45</v>
      </c>
      <c r="C17" s="112">
        <v>311</v>
      </c>
      <c r="D17" s="112">
        <v>17436771</v>
      </c>
      <c r="E17" s="112">
        <v>52819</v>
      </c>
      <c r="F17" s="112">
        <v>3653958</v>
      </c>
      <c r="G17" s="112">
        <v>13835632</v>
      </c>
      <c r="H17" s="112">
        <v>6100009</v>
      </c>
      <c r="I17" s="112">
        <v>14016450</v>
      </c>
      <c r="J17" s="112">
        <v>179566</v>
      </c>
      <c r="K17" s="112">
        <v>85114</v>
      </c>
      <c r="L17" s="112">
        <v>1018</v>
      </c>
      <c r="M17" s="112">
        <v>0</v>
      </c>
      <c r="N17" s="112">
        <v>0</v>
      </c>
      <c r="O17" s="112">
        <v>85075</v>
      </c>
    </row>
    <row r="18" spans="1:15" x14ac:dyDescent="0.2">
      <c r="A18" s="1">
        <v>48000</v>
      </c>
      <c r="B18" s="112" t="s">
        <v>46</v>
      </c>
      <c r="C18" s="112">
        <v>1028</v>
      </c>
      <c r="D18" s="112">
        <v>59016302</v>
      </c>
      <c r="E18" s="112">
        <v>402977</v>
      </c>
      <c r="F18" s="112">
        <v>11651374</v>
      </c>
      <c r="G18" s="112">
        <v>47767905</v>
      </c>
      <c r="H18" s="112">
        <v>19987991</v>
      </c>
      <c r="I18" s="112">
        <v>49401648</v>
      </c>
      <c r="J18" s="112">
        <v>751455</v>
      </c>
      <c r="K18" s="112">
        <v>361995</v>
      </c>
      <c r="L18" s="112">
        <v>2028</v>
      </c>
      <c r="M18" s="112">
        <v>0</v>
      </c>
      <c r="N18" s="112">
        <v>0</v>
      </c>
      <c r="O18" s="112">
        <v>365721</v>
      </c>
    </row>
    <row r="19" spans="1:15" x14ac:dyDescent="0.2">
      <c r="A19" s="1">
        <v>50000</v>
      </c>
      <c r="B19" s="112" t="s">
        <v>47</v>
      </c>
      <c r="C19" s="112">
        <v>675</v>
      </c>
      <c r="D19" s="112">
        <v>40580583</v>
      </c>
      <c r="E19" s="112">
        <v>233513</v>
      </c>
      <c r="F19" s="112">
        <v>7721235</v>
      </c>
      <c r="G19" s="112">
        <v>33092861</v>
      </c>
      <c r="H19" s="112">
        <v>12450544</v>
      </c>
      <c r="I19" s="112">
        <v>33590401</v>
      </c>
      <c r="J19" s="112">
        <v>573278</v>
      </c>
      <c r="K19" s="112">
        <v>232742</v>
      </c>
      <c r="L19" s="112">
        <v>1578</v>
      </c>
      <c r="M19" s="112">
        <v>0</v>
      </c>
      <c r="N19" s="112">
        <v>0</v>
      </c>
      <c r="O19" s="112">
        <v>248537</v>
      </c>
    </row>
    <row r="20" spans="1:15" x14ac:dyDescent="0.2">
      <c r="A20" s="1">
        <v>60000</v>
      </c>
      <c r="B20" s="112" t="s">
        <v>48</v>
      </c>
      <c r="C20" s="112">
        <v>3407</v>
      </c>
      <c r="D20" s="112">
        <v>217916098</v>
      </c>
      <c r="E20" s="112">
        <v>1572242</v>
      </c>
      <c r="F20" s="112">
        <v>32474086</v>
      </c>
      <c r="G20" s="112">
        <v>187014254</v>
      </c>
      <c r="H20" s="112">
        <v>77791233</v>
      </c>
      <c r="I20" s="112">
        <v>188764531</v>
      </c>
      <c r="J20" s="112">
        <v>4757694</v>
      </c>
      <c r="K20" s="112">
        <v>2010221</v>
      </c>
      <c r="L20" s="112">
        <v>21413</v>
      </c>
      <c r="M20" s="112">
        <v>0</v>
      </c>
      <c r="N20" s="112">
        <v>0</v>
      </c>
      <c r="O20" s="112">
        <v>2017100</v>
      </c>
    </row>
    <row r="21" spans="1:15" x14ac:dyDescent="0.2">
      <c r="A21" s="1">
        <v>74000</v>
      </c>
      <c r="B21" s="112" t="s">
        <v>49</v>
      </c>
      <c r="C21" s="112">
        <v>4693</v>
      </c>
      <c r="D21" s="112">
        <v>340904072</v>
      </c>
      <c r="E21" s="112">
        <v>2320337</v>
      </c>
      <c r="F21" s="112">
        <v>28800748</v>
      </c>
      <c r="G21" s="112">
        <v>314423661</v>
      </c>
      <c r="H21" s="112">
        <v>127272408</v>
      </c>
      <c r="I21" s="112">
        <v>316906499</v>
      </c>
      <c r="J21" s="112">
        <v>11625259</v>
      </c>
      <c r="K21" s="112">
        <v>4701879</v>
      </c>
      <c r="L21" s="112">
        <v>98540</v>
      </c>
      <c r="M21" s="112">
        <v>0</v>
      </c>
      <c r="N21" s="112">
        <v>0</v>
      </c>
      <c r="O21" s="112">
        <v>4664693</v>
      </c>
    </row>
    <row r="22" spans="1:15" x14ac:dyDescent="0.2">
      <c r="A22" s="1">
        <v>75000</v>
      </c>
      <c r="B22" s="112" t="s">
        <v>50</v>
      </c>
      <c r="C22" s="112">
        <v>347</v>
      </c>
      <c r="D22" s="112">
        <v>28558970</v>
      </c>
      <c r="E22" s="112">
        <v>99745</v>
      </c>
      <c r="F22" s="112">
        <v>2810086</v>
      </c>
      <c r="G22" s="112">
        <v>25848629</v>
      </c>
      <c r="H22" s="112">
        <v>10480055</v>
      </c>
      <c r="I22" s="112">
        <v>25930758</v>
      </c>
      <c r="J22" s="112">
        <v>1041965</v>
      </c>
      <c r="K22" s="112">
        <v>421372</v>
      </c>
      <c r="L22" s="112">
        <v>5707</v>
      </c>
      <c r="M22" s="112">
        <v>0</v>
      </c>
      <c r="N22" s="112">
        <v>0</v>
      </c>
      <c r="O22" s="112">
        <v>419010</v>
      </c>
    </row>
    <row r="23" spans="1:15" x14ac:dyDescent="0.2">
      <c r="A23" s="1">
        <v>96000</v>
      </c>
      <c r="B23" s="112" t="s">
        <v>51</v>
      </c>
      <c r="C23" s="112">
        <v>8272</v>
      </c>
      <c r="D23" s="112">
        <v>754942309</v>
      </c>
      <c r="E23" s="112">
        <v>4092124</v>
      </c>
      <c r="F23" s="112">
        <v>50078515</v>
      </c>
      <c r="G23" s="112">
        <v>708955918</v>
      </c>
      <c r="H23" s="112">
        <v>55021429</v>
      </c>
      <c r="I23" s="112">
        <v>711874089</v>
      </c>
      <c r="J23" s="112">
        <v>29105653</v>
      </c>
      <c r="K23" s="112">
        <v>2228730</v>
      </c>
      <c r="L23" s="112">
        <v>155728</v>
      </c>
      <c r="M23" s="112">
        <v>0</v>
      </c>
      <c r="N23" s="112">
        <v>1934</v>
      </c>
      <c r="O23" s="112">
        <v>11025718</v>
      </c>
    </row>
    <row r="24" spans="1:15" x14ac:dyDescent="0.2">
      <c r="A24" s="1">
        <v>100000</v>
      </c>
      <c r="B24" s="112" t="s">
        <v>52</v>
      </c>
      <c r="C24" s="112">
        <v>1572</v>
      </c>
      <c r="D24" s="112">
        <v>161408345</v>
      </c>
      <c r="E24" s="112">
        <v>1212284</v>
      </c>
      <c r="F24" s="112">
        <v>8599957</v>
      </c>
      <c r="G24" s="112">
        <v>154020672</v>
      </c>
      <c r="H24" s="112">
        <v>58758605</v>
      </c>
      <c r="I24" s="112">
        <v>154286806</v>
      </c>
      <c r="J24" s="112">
        <v>6705350</v>
      </c>
      <c r="K24" s="112">
        <v>2559514</v>
      </c>
      <c r="L24" s="112">
        <v>45524</v>
      </c>
      <c r="M24" s="112">
        <v>0</v>
      </c>
      <c r="N24" s="112">
        <v>0</v>
      </c>
      <c r="O24" s="112">
        <v>2570856</v>
      </c>
    </row>
    <row r="25" spans="1:15" x14ac:dyDescent="0.2">
      <c r="A25" s="1">
        <v>150000</v>
      </c>
      <c r="B25" s="112" t="s">
        <v>53</v>
      </c>
      <c r="C25" s="112">
        <v>19468</v>
      </c>
      <c r="D25" s="112">
        <v>2489247090</v>
      </c>
      <c r="E25" s="112">
        <v>14278461</v>
      </c>
      <c r="F25" s="112">
        <v>91976261</v>
      </c>
      <c r="G25" s="112">
        <v>2411549290</v>
      </c>
      <c r="H25" s="112">
        <v>892515903</v>
      </c>
      <c r="I25" s="112">
        <v>2416826562</v>
      </c>
      <c r="J25" s="112">
        <v>119466616</v>
      </c>
      <c r="K25" s="112">
        <v>44143654</v>
      </c>
      <c r="L25" s="112">
        <v>1022597</v>
      </c>
      <c r="M25" s="112">
        <v>2</v>
      </c>
      <c r="N25" s="112">
        <v>2165</v>
      </c>
      <c r="O25" s="112">
        <v>43526601</v>
      </c>
    </row>
    <row r="26" spans="1:15" x14ac:dyDescent="0.2">
      <c r="A26" s="1">
        <v>200000</v>
      </c>
      <c r="B26" s="112" t="s">
        <v>54</v>
      </c>
      <c r="C26" s="112">
        <v>13322</v>
      </c>
      <c r="D26" s="112">
        <v>2353260793</v>
      </c>
      <c r="E26" s="112">
        <v>14161867</v>
      </c>
      <c r="F26" s="112">
        <v>54039509</v>
      </c>
      <c r="G26" s="112">
        <v>2313383151</v>
      </c>
      <c r="H26" s="112">
        <v>825542117</v>
      </c>
      <c r="I26" s="112">
        <v>2315984764</v>
      </c>
      <c r="J26" s="112">
        <v>120726694</v>
      </c>
      <c r="K26" s="112">
        <v>43040264</v>
      </c>
      <c r="L26" s="112">
        <v>1243154</v>
      </c>
      <c r="M26" s="112">
        <v>12</v>
      </c>
      <c r="N26" s="112">
        <v>142</v>
      </c>
      <c r="O26" s="112">
        <v>42120535</v>
      </c>
    </row>
    <row r="27" spans="1:15" x14ac:dyDescent="0.2">
      <c r="A27" s="1">
        <v>250000</v>
      </c>
      <c r="B27" s="112" t="s">
        <v>55</v>
      </c>
      <c r="C27" s="112">
        <v>9270</v>
      </c>
      <c r="D27" s="112">
        <v>2094781263</v>
      </c>
      <c r="E27" s="112">
        <v>16531623</v>
      </c>
      <c r="F27" s="112">
        <v>41281203</v>
      </c>
      <c r="G27" s="112">
        <v>2070031683</v>
      </c>
      <c r="H27" s="112">
        <v>690079318</v>
      </c>
      <c r="I27" s="112">
        <v>2072314786</v>
      </c>
      <c r="J27" s="112">
        <v>110447526</v>
      </c>
      <c r="K27" s="112">
        <v>36792448</v>
      </c>
      <c r="L27" s="112">
        <v>1432880</v>
      </c>
      <c r="M27" s="112">
        <v>69</v>
      </c>
      <c r="N27" s="112">
        <v>6625</v>
      </c>
      <c r="O27" s="112">
        <v>35639835</v>
      </c>
    </row>
    <row r="28" spans="1:15" x14ac:dyDescent="0.2">
      <c r="A28" s="1">
        <v>350000</v>
      </c>
      <c r="B28" s="112" t="s">
        <v>56</v>
      </c>
      <c r="C28" s="112">
        <v>11102</v>
      </c>
      <c r="D28" s="112">
        <v>3295596307</v>
      </c>
      <c r="E28" s="112">
        <v>33157753</v>
      </c>
      <c r="F28" s="112">
        <v>55945838</v>
      </c>
      <c r="G28" s="112">
        <v>3272808222</v>
      </c>
      <c r="H28" s="112">
        <v>998590643</v>
      </c>
      <c r="I28" s="112">
        <v>3277804139</v>
      </c>
      <c r="J28" s="112">
        <v>180056878</v>
      </c>
      <c r="K28" s="112">
        <v>54885566</v>
      </c>
      <c r="L28" s="112">
        <v>3116991</v>
      </c>
      <c r="M28" s="112">
        <v>0</v>
      </c>
      <c r="N28" s="112">
        <v>14663</v>
      </c>
      <c r="O28" s="112">
        <v>52240213</v>
      </c>
    </row>
    <row r="29" spans="1:15" x14ac:dyDescent="0.2">
      <c r="A29" s="1">
        <v>500000</v>
      </c>
      <c r="B29" s="112" t="s">
        <v>57</v>
      </c>
      <c r="C29" s="112">
        <v>8619</v>
      </c>
      <c r="D29" s="112">
        <v>3600640366</v>
      </c>
      <c r="E29" s="112">
        <v>60701278</v>
      </c>
      <c r="F29" s="112">
        <v>75103279</v>
      </c>
      <c r="G29" s="112">
        <v>3586238365</v>
      </c>
      <c r="H29" s="112">
        <v>970324677</v>
      </c>
      <c r="I29" s="112">
        <v>3589050543</v>
      </c>
      <c r="J29" s="112">
        <v>208296916</v>
      </c>
      <c r="K29" s="112">
        <v>56272137</v>
      </c>
      <c r="L29" s="112">
        <v>4400133</v>
      </c>
      <c r="M29" s="112">
        <v>46</v>
      </c>
      <c r="N29" s="112">
        <v>209</v>
      </c>
      <c r="O29" s="112">
        <v>52443903</v>
      </c>
    </row>
    <row r="30" spans="1:15" x14ac:dyDescent="0.2">
      <c r="A30" s="1">
        <v>1000000</v>
      </c>
      <c r="B30" s="112" t="s">
        <v>58</v>
      </c>
      <c r="C30" s="112">
        <v>10747</v>
      </c>
      <c r="D30" s="112">
        <v>7410232633</v>
      </c>
      <c r="E30" s="112">
        <v>134872828</v>
      </c>
      <c r="F30" s="112">
        <v>94452966</v>
      </c>
      <c r="G30" s="112">
        <v>7450652495</v>
      </c>
      <c r="H30" s="112">
        <v>1538390737</v>
      </c>
      <c r="I30" s="112">
        <v>7457590456</v>
      </c>
      <c r="J30" s="112">
        <v>501783664</v>
      </c>
      <c r="K30" s="112">
        <v>103252553</v>
      </c>
      <c r="L30" s="112">
        <v>10450611</v>
      </c>
      <c r="M30" s="112">
        <v>2</v>
      </c>
      <c r="N30" s="112">
        <v>17518</v>
      </c>
      <c r="O30" s="112">
        <v>93710534</v>
      </c>
    </row>
    <row r="31" spans="1:15" x14ac:dyDescent="0.2">
      <c r="A31" s="1">
        <v>2000000</v>
      </c>
      <c r="B31" s="112" t="s">
        <v>59</v>
      </c>
      <c r="C31" s="112">
        <v>5515</v>
      </c>
      <c r="D31" s="112">
        <v>7596728016</v>
      </c>
      <c r="E31" s="112">
        <v>193412147</v>
      </c>
      <c r="F31" s="112">
        <v>110749938</v>
      </c>
      <c r="G31" s="112">
        <v>7679390225</v>
      </c>
      <c r="H31" s="112">
        <v>1058015953</v>
      </c>
      <c r="I31" s="112">
        <v>7686830331</v>
      </c>
      <c r="J31" s="112">
        <v>536392527</v>
      </c>
      <c r="K31" s="112">
        <v>73816178</v>
      </c>
      <c r="L31" s="112">
        <v>7935622</v>
      </c>
      <c r="M31" s="112">
        <v>4</v>
      </c>
      <c r="N31" s="112">
        <v>3449</v>
      </c>
      <c r="O31" s="112">
        <v>66879670</v>
      </c>
    </row>
    <row r="32" spans="1:15" x14ac:dyDescent="0.2">
      <c r="A32" s="1">
        <v>2000001</v>
      </c>
      <c r="B32" s="112" t="s">
        <v>60</v>
      </c>
      <c r="C32" s="112">
        <v>6794</v>
      </c>
      <c r="D32" s="112">
        <v>89843472074</v>
      </c>
      <c r="E32" s="112">
        <v>1586740203</v>
      </c>
      <c r="F32" s="112">
        <v>1202721788</v>
      </c>
      <c r="G32" s="112">
        <v>90227490489</v>
      </c>
      <c r="H32" s="112">
        <v>3782969071</v>
      </c>
      <c r="I32" s="112">
        <v>90234477151</v>
      </c>
      <c r="J32" s="112">
        <v>6306710533</v>
      </c>
      <c r="K32" s="112">
        <v>264361020</v>
      </c>
      <c r="L32" s="112">
        <v>32177704</v>
      </c>
      <c r="M32" s="112">
        <v>639</v>
      </c>
      <c r="N32" s="112">
        <v>13315</v>
      </c>
      <c r="O32" s="112">
        <v>236488183</v>
      </c>
    </row>
    <row r="34" spans="1:15" x14ac:dyDescent="0.2">
      <c r="A34" s="4"/>
      <c r="B34" s="112" t="s">
        <v>61</v>
      </c>
      <c r="C34" s="112">
        <v>116685</v>
      </c>
      <c r="D34" s="112">
        <v>120710461240</v>
      </c>
      <c r="E34" s="112">
        <v>2066805426</v>
      </c>
      <c r="F34" s="112">
        <v>1984156545</v>
      </c>
      <c r="G34" s="112">
        <v>120793110121</v>
      </c>
      <c r="H34" s="112">
        <v>11266604268</v>
      </c>
      <c r="I34" s="112">
        <v>120855557609</v>
      </c>
      <c r="J34" s="112">
        <v>8140336896</v>
      </c>
      <c r="K34" s="112">
        <v>690121215</v>
      </c>
      <c r="L34" s="112">
        <v>62116413</v>
      </c>
      <c r="M34" s="112">
        <v>788</v>
      </c>
      <c r="N34" s="112">
        <v>60020</v>
      </c>
      <c r="O34" s="112">
        <v>645411066</v>
      </c>
    </row>
    <row r="36" spans="1:15" x14ac:dyDescent="0.2">
      <c r="C36" s="119"/>
      <c r="D36" s="119"/>
      <c r="E36" s="119"/>
      <c r="F36" s="119"/>
      <c r="G36" s="119"/>
      <c r="H36" s="119"/>
      <c r="I36" s="119"/>
      <c r="J36" s="119"/>
      <c r="K36" s="119"/>
      <c r="L36" s="119"/>
      <c r="M36" s="119"/>
      <c r="N36" s="119"/>
      <c r="O36" s="119"/>
    </row>
  </sheetData>
  <pageMargins left="0.75" right="0.75" top="1" bottom="1" header="0.5" footer="0.5"/>
  <pageSetup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01AD0-DD6B-4F83-8A43-0981660FB614}">
  <sheetPr>
    <tabColor theme="7"/>
  </sheetPr>
  <dimension ref="A1:Q36"/>
  <sheetViews>
    <sheetView workbookViewId="0"/>
  </sheetViews>
  <sheetFormatPr defaultColWidth="9.140625" defaultRowHeight="12.75" x14ac:dyDescent="0.2"/>
  <cols>
    <col min="1" max="1" width="22.7109375" style="1" customWidth="1"/>
    <col min="2" max="2" width="25.7109375" style="112" bestFit="1" customWidth="1"/>
    <col min="3" max="3" width="23.140625" style="112" bestFit="1" customWidth="1"/>
    <col min="4" max="4" width="14.28515625" style="112" customWidth="1"/>
    <col min="5" max="5" width="13.140625" style="112" bestFit="1" customWidth="1"/>
    <col min="6" max="6" width="13.28515625" style="112" bestFit="1" customWidth="1"/>
    <col min="7" max="7" width="13.7109375" style="112" bestFit="1" customWidth="1"/>
    <col min="8" max="8" width="16.7109375" style="112" bestFit="1" customWidth="1"/>
    <col min="9" max="9" width="13.7109375" style="112" customWidth="1"/>
    <col min="10" max="10" width="11.140625" style="112" bestFit="1" customWidth="1"/>
    <col min="11" max="11" width="10.140625" style="112" bestFit="1" customWidth="1"/>
    <col min="12" max="12" width="14.7109375" style="112" bestFit="1" customWidth="1"/>
    <col min="13" max="13" width="6.7109375" style="112" bestFit="1" customWidth="1"/>
    <col min="14" max="14" width="20" style="112" customWidth="1"/>
    <col min="15" max="15" width="12.7109375" style="112" bestFit="1" customWidth="1"/>
    <col min="16" max="16384" width="9.140625" style="112"/>
  </cols>
  <sheetData>
    <row r="1" spans="1:17" ht="89.25" x14ac:dyDescent="0.2">
      <c r="A1" s="98" t="s">
        <v>603</v>
      </c>
      <c r="B1" s="113" t="s">
        <v>63</v>
      </c>
      <c r="C1" s="124" t="s">
        <v>660</v>
      </c>
      <c r="N1" s="117" t="s">
        <v>3</v>
      </c>
    </row>
    <row r="2" spans="1:17" s="121" customFormat="1" x14ac:dyDescent="0.2">
      <c r="A2" s="1"/>
      <c r="C2" s="122"/>
      <c r="D2" s="120" t="s">
        <v>19</v>
      </c>
      <c r="E2" s="120" t="s">
        <v>20</v>
      </c>
      <c r="F2" s="120" t="s">
        <v>21</v>
      </c>
      <c r="G2" s="120" t="s">
        <v>22</v>
      </c>
      <c r="H2" s="120" t="s">
        <v>23</v>
      </c>
      <c r="I2" s="120" t="s">
        <v>24</v>
      </c>
      <c r="J2" s="120" t="s">
        <v>105</v>
      </c>
      <c r="K2" s="120" t="s">
        <v>104</v>
      </c>
      <c r="L2" s="120" t="s">
        <v>103</v>
      </c>
      <c r="M2" s="120" t="s">
        <v>102</v>
      </c>
      <c r="N2" s="117" t="s">
        <v>101</v>
      </c>
      <c r="O2" s="120" t="s">
        <v>31</v>
      </c>
      <c r="P2" s="122"/>
      <c r="Q2" s="122"/>
    </row>
    <row r="3" spans="1:17" s="121" customFormat="1" ht="12" x14ac:dyDescent="0.2">
      <c r="A3" s="2"/>
      <c r="B3" s="123" t="s">
        <v>100</v>
      </c>
      <c r="C3" s="123" t="s">
        <v>99</v>
      </c>
      <c r="D3" s="123" t="s">
        <v>98</v>
      </c>
      <c r="E3" s="123" t="s">
        <v>97</v>
      </c>
      <c r="F3" s="123" t="s">
        <v>96</v>
      </c>
      <c r="G3" s="123" t="s">
        <v>95</v>
      </c>
      <c r="H3" s="123" t="s">
        <v>94</v>
      </c>
      <c r="I3" s="123" t="s">
        <v>93</v>
      </c>
      <c r="J3" s="123" t="s">
        <v>65</v>
      </c>
      <c r="K3" s="123" t="s">
        <v>92</v>
      </c>
      <c r="L3" s="123" t="s">
        <v>91</v>
      </c>
      <c r="M3" s="123" t="s">
        <v>90</v>
      </c>
      <c r="N3" s="116" t="s">
        <v>28</v>
      </c>
      <c r="O3" s="123" t="s">
        <v>89</v>
      </c>
      <c r="P3" s="122"/>
      <c r="Q3" s="122"/>
    </row>
    <row r="4" spans="1:17" x14ac:dyDescent="0.2">
      <c r="A4" s="1">
        <v>5000</v>
      </c>
      <c r="B4" s="112" t="s">
        <v>32</v>
      </c>
      <c r="C4" s="112">
        <v>316</v>
      </c>
      <c r="D4" s="112">
        <v>3173429</v>
      </c>
      <c r="E4" s="112">
        <v>15226</v>
      </c>
      <c r="F4" s="112">
        <v>2545211</v>
      </c>
      <c r="G4" s="112">
        <v>643444</v>
      </c>
      <c r="H4" s="112">
        <v>598533</v>
      </c>
      <c r="I4" s="112">
        <v>912917</v>
      </c>
      <c r="J4" s="112">
        <v>6183</v>
      </c>
      <c r="K4" s="112">
        <v>6183</v>
      </c>
      <c r="L4" s="112">
        <v>0</v>
      </c>
      <c r="M4" s="112">
        <v>1</v>
      </c>
      <c r="N4" s="112">
        <v>0</v>
      </c>
      <c r="O4" s="112">
        <v>6184</v>
      </c>
    </row>
    <row r="5" spans="1:17" x14ac:dyDescent="0.2">
      <c r="A5" s="1">
        <v>10000</v>
      </c>
      <c r="B5" s="112" t="s">
        <v>33</v>
      </c>
      <c r="C5" s="112">
        <v>249</v>
      </c>
      <c r="D5" s="112">
        <v>2753478</v>
      </c>
      <c r="E5" s="112">
        <v>24167</v>
      </c>
      <c r="F5" s="112">
        <v>926811</v>
      </c>
      <c r="G5" s="112">
        <v>1850834</v>
      </c>
      <c r="H5" s="112">
        <v>1193370</v>
      </c>
      <c r="I5" s="112">
        <v>1960020</v>
      </c>
      <c r="J5" s="112">
        <v>1147</v>
      </c>
      <c r="K5" s="112">
        <v>1147</v>
      </c>
      <c r="L5" s="112">
        <v>0</v>
      </c>
      <c r="M5" s="112">
        <v>0</v>
      </c>
      <c r="N5" s="112">
        <v>0</v>
      </c>
      <c r="O5" s="112">
        <v>1147</v>
      </c>
    </row>
    <row r="6" spans="1:17" x14ac:dyDescent="0.2">
      <c r="A6" s="1">
        <v>12000</v>
      </c>
      <c r="B6" s="112" t="s">
        <v>34</v>
      </c>
      <c r="C6" s="112">
        <v>116</v>
      </c>
      <c r="D6" s="112">
        <v>1646966</v>
      </c>
      <c r="E6" s="112">
        <v>37136</v>
      </c>
      <c r="F6" s="112">
        <v>415616</v>
      </c>
      <c r="G6" s="112">
        <v>1268486</v>
      </c>
      <c r="H6" s="112">
        <v>1274198</v>
      </c>
      <c r="I6" s="112">
        <v>1822643</v>
      </c>
      <c r="J6" s="112">
        <v>37150</v>
      </c>
      <c r="K6" s="112">
        <v>37150</v>
      </c>
      <c r="L6" s="112">
        <v>0</v>
      </c>
      <c r="M6" s="112">
        <v>0</v>
      </c>
      <c r="N6" s="112">
        <v>0</v>
      </c>
      <c r="O6" s="112">
        <v>37150</v>
      </c>
    </row>
    <row r="7" spans="1:17" x14ac:dyDescent="0.2">
      <c r="A7" s="1">
        <v>15000</v>
      </c>
      <c r="B7" s="112" t="s">
        <v>35</v>
      </c>
      <c r="C7" s="112">
        <v>194</v>
      </c>
      <c r="D7" s="112">
        <v>3412026</v>
      </c>
      <c r="E7" s="112">
        <v>65247</v>
      </c>
      <c r="F7" s="112">
        <v>840820</v>
      </c>
      <c r="G7" s="112">
        <v>2636453</v>
      </c>
      <c r="H7" s="112">
        <v>1522570</v>
      </c>
      <c r="I7" s="112">
        <v>2726096</v>
      </c>
      <c r="J7" s="112">
        <v>5141</v>
      </c>
      <c r="K7" s="112">
        <v>4026</v>
      </c>
      <c r="L7" s="112">
        <v>2</v>
      </c>
      <c r="M7" s="112">
        <v>0</v>
      </c>
      <c r="N7" s="112">
        <v>0</v>
      </c>
      <c r="O7" s="112">
        <v>4068</v>
      </c>
    </row>
    <row r="8" spans="1:17" x14ac:dyDescent="0.2">
      <c r="A8" s="1">
        <v>19000</v>
      </c>
      <c r="B8" s="112" t="s">
        <v>36</v>
      </c>
      <c r="C8" s="112">
        <v>228</v>
      </c>
      <c r="D8" s="112">
        <v>4655253</v>
      </c>
      <c r="E8" s="112">
        <v>74219</v>
      </c>
      <c r="F8" s="112">
        <v>868595</v>
      </c>
      <c r="G8" s="112">
        <v>3860877</v>
      </c>
      <c r="H8" s="112">
        <v>1899511</v>
      </c>
      <c r="I8" s="112">
        <v>3928470</v>
      </c>
      <c r="J8" s="112">
        <v>20377</v>
      </c>
      <c r="K8" s="112">
        <v>11916</v>
      </c>
      <c r="L8" s="112">
        <v>25</v>
      </c>
      <c r="M8" s="112">
        <v>0</v>
      </c>
      <c r="N8" s="112">
        <v>0</v>
      </c>
      <c r="O8" s="112">
        <v>12284</v>
      </c>
    </row>
    <row r="9" spans="1:17" x14ac:dyDescent="0.2">
      <c r="A9" s="1">
        <v>20000</v>
      </c>
      <c r="B9" s="112" t="s">
        <v>37</v>
      </c>
      <c r="C9" s="112">
        <v>52</v>
      </c>
      <c r="D9" s="112">
        <v>1085081</v>
      </c>
      <c r="E9" s="112">
        <v>3363</v>
      </c>
      <c r="F9" s="112">
        <v>74021</v>
      </c>
      <c r="G9" s="112">
        <v>1014423</v>
      </c>
      <c r="H9" s="112">
        <v>493284</v>
      </c>
      <c r="I9" s="112">
        <v>1016790</v>
      </c>
      <c r="J9" s="112">
        <v>7739</v>
      </c>
      <c r="K9" s="112">
        <v>3813</v>
      </c>
      <c r="L9" s="112">
        <v>0</v>
      </c>
      <c r="M9" s="112">
        <v>0</v>
      </c>
      <c r="N9" s="112">
        <v>0</v>
      </c>
      <c r="O9" s="112">
        <v>3853</v>
      </c>
    </row>
    <row r="10" spans="1:17" x14ac:dyDescent="0.2">
      <c r="A10" s="1">
        <v>24000</v>
      </c>
      <c r="B10" s="112" t="s">
        <v>38</v>
      </c>
      <c r="C10" s="112">
        <v>257</v>
      </c>
      <c r="D10" s="112">
        <v>6194620</v>
      </c>
      <c r="E10" s="112">
        <v>26431</v>
      </c>
      <c r="F10" s="112">
        <v>561270</v>
      </c>
      <c r="G10" s="112">
        <v>5659781</v>
      </c>
      <c r="H10" s="112">
        <v>3048366</v>
      </c>
      <c r="I10" s="112">
        <v>5706196</v>
      </c>
      <c r="J10" s="112">
        <v>69025</v>
      </c>
      <c r="K10" s="112">
        <v>38096</v>
      </c>
      <c r="L10" s="112">
        <v>319</v>
      </c>
      <c r="M10" s="112">
        <v>0</v>
      </c>
      <c r="N10" s="112">
        <v>0</v>
      </c>
      <c r="O10" s="112">
        <v>37982</v>
      </c>
    </row>
    <row r="11" spans="1:17" x14ac:dyDescent="0.2">
      <c r="A11" s="1">
        <v>25000</v>
      </c>
      <c r="B11" s="112" t="s">
        <v>39</v>
      </c>
      <c r="C11" s="112">
        <v>67</v>
      </c>
      <c r="D11" s="112">
        <v>1741238</v>
      </c>
      <c r="E11" s="112">
        <v>274</v>
      </c>
      <c r="F11" s="112">
        <v>96864</v>
      </c>
      <c r="G11" s="112">
        <v>1644648</v>
      </c>
      <c r="H11" s="112">
        <v>843032</v>
      </c>
      <c r="I11" s="112">
        <v>1650516</v>
      </c>
      <c r="J11" s="112">
        <v>27791</v>
      </c>
      <c r="K11" s="112">
        <v>14436</v>
      </c>
      <c r="L11" s="112">
        <v>347</v>
      </c>
      <c r="M11" s="112">
        <v>0</v>
      </c>
      <c r="N11" s="112">
        <v>0</v>
      </c>
      <c r="O11" s="112">
        <v>14105</v>
      </c>
    </row>
    <row r="12" spans="1:17" x14ac:dyDescent="0.2">
      <c r="A12" s="1">
        <v>30000</v>
      </c>
      <c r="B12" s="112" t="s">
        <v>40</v>
      </c>
      <c r="C12" s="112">
        <v>336</v>
      </c>
      <c r="D12" s="112">
        <v>10180593</v>
      </c>
      <c r="E12" s="112">
        <v>125723</v>
      </c>
      <c r="F12" s="112">
        <v>1082860</v>
      </c>
      <c r="G12" s="112">
        <v>9223456</v>
      </c>
      <c r="H12" s="112">
        <v>4762036</v>
      </c>
      <c r="I12" s="112">
        <v>9316953</v>
      </c>
      <c r="J12" s="112">
        <v>238543</v>
      </c>
      <c r="K12" s="112">
        <v>125867</v>
      </c>
      <c r="L12" s="112">
        <v>2531</v>
      </c>
      <c r="M12" s="112">
        <v>0</v>
      </c>
      <c r="N12" s="112">
        <v>0</v>
      </c>
      <c r="O12" s="112">
        <v>125886</v>
      </c>
    </row>
    <row r="13" spans="1:17" x14ac:dyDescent="0.2">
      <c r="A13" s="1">
        <v>34000</v>
      </c>
      <c r="B13" s="112" t="s">
        <v>41</v>
      </c>
      <c r="C13" s="112">
        <v>277</v>
      </c>
      <c r="D13" s="112">
        <v>9611168</v>
      </c>
      <c r="E13" s="112">
        <v>104583</v>
      </c>
      <c r="F13" s="112">
        <v>885117</v>
      </c>
      <c r="G13" s="112">
        <v>8830634</v>
      </c>
      <c r="H13" s="112">
        <v>4798637</v>
      </c>
      <c r="I13" s="112">
        <v>8923545</v>
      </c>
      <c r="J13" s="112">
        <v>308664</v>
      </c>
      <c r="K13" s="112">
        <v>167706</v>
      </c>
      <c r="L13" s="112">
        <v>3210</v>
      </c>
      <c r="M13" s="112">
        <v>0</v>
      </c>
      <c r="N13" s="112">
        <v>0</v>
      </c>
      <c r="O13" s="112">
        <v>164707</v>
      </c>
    </row>
    <row r="14" spans="1:17" x14ac:dyDescent="0.2">
      <c r="A14" s="1">
        <v>35000</v>
      </c>
      <c r="B14" s="112" t="s">
        <v>42</v>
      </c>
      <c r="C14" s="112">
        <v>72</v>
      </c>
      <c r="D14" s="112">
        <v>2612972</v>
      </c>
      <c r="E14" s="112">
        <v>50033</v>
      </c>
      <c r="F14" s="112">
        <v>173956</v>
      </c>
      <c r="G14" s="112">
        <v>2489049</v>
      </c>
      <c r="H14" s="112">
        <v>1124688</v>
      </c>
      <c r="I14" s="112">
        <v>2510035</v>
      </c>
      <c r="J14" s="112">
        <v>96915</v>
      </c>
      <c r="K14" s="112">
        <v>43600</v>
      </c>
      <c r="L14" s="112">
        <v>910</v>
      </c>
      <c r="M14" s="112">
        <v>0</v>
      </c>
      <c r="N14" s="112">
        <v>0</v>
      </c>
      <c r="O14" s="112">
        <v>44663</v>
      </c>
    </row>
    <row r="15" spans="1:17" x14ac:dyDescent="0.2">
      <c r="A15" s="1">
        <v>40000</v>
      </c>
      <c r="B15" s="112" t="s">
        <v>43</v>
      </c>
      <c r="C15" s="112">
        <v>325</v>
      </c>
      <c r="D15" s="112">
        <v>13190404</v>
      </c>
      <c r="E15" s="112">
        <v>42340</v>
      </c>
      <c r="F15" s="112">
        <v>1084518</v>
      </c>
      <c r="G15" s="112">
        <v>12148226</v>
      </c>
      <c r="H15" s="112">
        <v>6556188</v>
      </c>
      <c r="I15" s="112">
        <v>12291503</v>
      </c>
      <c r="J15" s="112">
        <v>496353</v>
      </c>
      <c r="K15" s="112">
        <v>265870</v>
      </c>
      <c r="L15" s="112">
        <v>8347</v>
      </c>
      <c r="M15" s="112">
        <v>0</v>
      </c>
      <c r="N15" s="112">
        <v>0</v>
      </c>
      <c r="O15" s="112">
        <v>259192</v>
      </c>
    </row>
    <row r="16" spans="1:17" x14ac:dyDescent="0.2">
      <c r="A16" s="1">
        <v>44000</v>
      </c>
      <c r="B16" s="112" t="s">
        <v>44</v>
      </c>
      <c r="C16" s="112">
        <v>272</v>
      </c>
      <c r="D16" s="112">
        <v>12347684</v>
      </c>
      <c r="E16" s="112">
        <v>114843</v>
      </c>
      <c r="F16" s="112">
        <v>1037020</v>
      </c>
      <c r="G16" s="112">
        <v>11425507</v>
      </c>
      <c r="H16" s="112">
        <v>6265750</v>
      </c>
      <c r="I16" s="112">
        <v>11760154</v>
      </c>
      <c r="J16" s="112">
        <v>486465</v>
      </c>
      <c r="K16" s="112">
        <v>262751</v>
      </c>
      <c r="L16" s="112">
        <v>7399</v>
      </c>
      <c r="M16" s="112">
        <v>0</v>
      </c>
      <c r="N16" s="112">
        <v>0</v>
      </c>
      <c r="O16" s="112">
        <v>255812</v>
      </c>
    </row>
    <row r="17" spans="1:15" x14ac:dyDescent="0.2">
      <c r="A17" s="1">
        <v>45000</v>
      </c>
      <c r="B17" s="112" t="s">
        <v>45</v>
      </c>
      <c r="C17" s="112">
        <v>55</v>
      </c>
      <c r="D17" s="112">
        <v>2488753</v>
      </c>
      <c r="E17" s="112">
        <v>53756</v>
      </c>
      <c r="F17" s="112">
        <v>96004</v>
      </c>
      <c r="G17" s="112">
        <v>2446505</v>
      </c>
      <c r="H17" s="112">
        <v>1089293</v>
      </c>
      <c r="I17" s="112">
        <v>2447766</v>
      </c>
      <c r="J17" s="112">
        <v>100249</v>
      </c>
      <c r="K17" s="112">
        <v>44614</v>
      </c>
      <c r="L17" s="112">
        <v>317</v>
      </c>
      <c r="M17" s="112">
        <v>0</v>
      </c>
      <c r="N17" s="112">
        <v>0</v>
      </c>
      <c r="O17" s="112">
        <v>45849</v>
      </c>
    </row>
    <row r="18" spans="1:15" x14ac:dyDescent="0.2">
      <c r="A18" s="1">
        <v>48000</v>
      </c>
      <c r="B18" s="112" t="s">
        <v>46</v>
      </c>
      <c r="C18" s="112">
        <v>183</v>
      </c>
      <c r="D18" s="112">
        <v>9006870</v>
      </c>
      <c r="E18" s="112">
        <v>27899</v>
      </c>
      <c r="F18" s="112">
        <v>530234</v>
      </c>
      <c r="G18" s="112">
        <v>8504535</v>
      </c>
      <c r="H18" s="112">
        <v>4711631</v>
      </c>
      <c r="I18" s="112">
        <v>8550455</v>
      </c>
      <c r="J18" s="112">
        <v>352967</v>
      </c>
      <c r="K18" s="112">
        <v>195091</v>
      </c>
      <c r="L18" s="112">
        <v>3175</v>
      </c>
      <c r="M18" s="112">
        <v>1938</v>
      </c>
      <c r="N18" s="112">
        <v>0</v>
      </c>
      <c r="O18" s="112">
        <v>194273</v>
      </c>
    </row>
    <row r="19" spans="1:15" x14ac:dyDescent="0.2">
      <c r="A19" s="1">
        <v>50000</v>
      </c>
      <c r="B19" s="112" t="s">
        <v>47</v>
      </c>
      <c r="C19" s="112">
        <v>136</v>
      </c>
      <c r="D19" s="112">
        <v>6893455</v>
      </c>
      <c r="E19" s="112">
        <v>91359</v>
      </c>
      <c r="F19" s="112">
        <v>329720</v>
      </c>
      <c r="G19" s="112">
        <v>6655094</v>
      </c>
      <c r="H19" s="112">
        <v>4081992</v>
      </c>
      <c r="I19" s="112">
        <v>6701706</v>
      </c>
      <c r="J19" s="112">
        <v>285815</v>
      </c>
      <c r="K19" s="112">
        <v>175030</v>
      </c>
      <c r="L19" s="112">
        <v>0</v>
      </c>
      <c r="M19" s="112">
        <v>0</v>
      </c>
      <c r="N19" s="112">
        <v>0</v>
      </c>
      <c r="O19" s="112">
        <v>175035</v>
      </c>
    </row>
    <row r="20" spans="1:15" x14ac:dyDescent="0.2">
      <c r="A20" s="1">
        <v>60000</v>
      </c>
      <c r="B20" s="112" t="s">
        <v>48</v>
      </c>
      <c r="C20" s="112">
        <v>615</v>
      </c>
      <c r="D20" s="112">
        <v>34560414</v>
      </c>
      <c r="E20" s="112">
        <v>136696</v>
      </c>
      <c r="F20" s="112">
        <v>892354</v>
      </c>
      <c r="G20" s="112">
        <v>33804756</v>
      </c>
      <c r="H20" s="112">
        <v>18349976</v>
      </c>
      <c r="I20" s="112">
        <v>33861292</v>
      </c>
      <c r="J20" s="112">
        <v>1604070</v>
      </c>
      <c r="K20" s="112">
        <v>870877</v>
      </c>
      <c r="L20" s="112">
        <v>24224</v>
      </c>
      <c r="M20" s="112">
        <v>0</v>
      </c>
      <c r="N20" s="112">
        <v>0</v>
      </c>
      <c r="O20" s="112">
        <v>848293</v>
      </c>
    </row>
    <row r="21" spans="1:15" x14ac:dyDescent="0.2">
      <c r="A21" s="1">
        <v>74000</v>
      </c>
      <c r="B21" s="112" t="s">
        <v>49</v>
      </c>
      <c r="C21" s="112">
        <v>816</v>
      </c>
      <c r="D21" s="112">
        <v>55515097</v>
      </c>
      <c r="E21" s="112">
        <v>190264</v>
      </c>
      <c r="F21" s="112">
        <v>1159293</v>
      </c>
      <c r="G21" s="112">
        <v>54546068</v>
      </c>
      <c r="H21" s="112">
        <v>28467292</v>
      </c>
      <c r="I21" s="112">
        <v>54918859</v>
      </c>
      <c r="J21" s="112">
        <v>2771122</v>
      </c>
      <c r="K21" s="112">
        <v>1437286</v>
      </c>
      <c r="L21" s="112">
        <v>63048</v>
      </c>
      <c r="M21" s="112">
        <v>0</v>
      </c>
      <c r="N21" s="112">
        <v>0</v>
      </c>
      <c r="O21" s="112">
        <v>1380817</v>
      </c>
    </row>
    <row r="22" spans="1:15" x14ac:dyDescent="0.2">
      <c r="A22" s="1">
        <v>75000</v>
      </c>
      <c r="B22" s="112" t="s">
        <v>50</v>
      </c>
      <c r="C22" s="112">
        <v>53</v>
      </c>
      <c r="D22" s="112">
        <v>4050588</v>
      </c>
      <c r="E22" s="112">
        <v>16010</v>
      </c>
      <c r="F22" s="112">
        <v>118955</v>
      </c>
      <c r="G22" s="112">
        <v>3947643</v>
      </c>
      <c r="H22" s="112">
        <v>1523643</v>
      </c>
      <c r="I22" s="112">
        <v>3953660</v>
      </c>
      <c r="J22" s="112">
        <v>204195</v>
      </c>
      <c r="K22" s="112">
        <v>78708</v>
      </c>
      <c r="L22" s="112">
        <v>6361</v>
      </c>
      <c r="M22" s="112">
        <v>0</v>
      </c>
      <c r="N22" s="112">
        <v>0</v>
      </c>
      <c r="O22" s="112">
        <v>72355</v>
      </c>
    </row>
    <row r="23" spans="1:15" x14ac:dyDescent="0.2">
      <c r="A23" s="1">
        <v>96000</v>
      </c>
      <c r="B23" s="112" t="s">
        <v>51</v>
      </c>
      <c r="C23" s="112">
        <v>1001</v>
      </c>
      <c r="D23" s="112">
        <v>85920258</v>
      </c>
      <c r="E23" s="112">
        <v>263823</v>
      </c>
      <c r="F23" s="112">
        <v>1240128</v>
      </c>
      <c r="G23" s="112">
        <v>84943953</v>
      </c>
      <c r="H23" s="112">
        <v>41457155</v>
      </c>
      <c r="I23" s="112">
        <v>85128965</v>
      </c>
      <c r="J23" s="112">
        <v>4431969</v>
      </c>
      <c r="K23" s="112">
        <v>2158398</v>
      </c>
      <c r="L23" s="112">
        <v>103856</v>
      </c>
      <c r="M23" s="112">
        <v>0</v>
      </c>
      <c r="N23" s="112">
        <v>0</v>
      </c>
      <c r="O23" s="112">
        <v>2056006</v>
      </c>
    </row>
    <row r="24" spans="1:15" x14ac:dyDescent="0.2">
      <c r="A24" s="1">
        <v>100000</v>
      </c>
      <c r="B24" s="112" t="s">
        <v>52</v>
      </c>
      <c r="C24" s="112">
        <v>153</v>
      </c>
      <c r="D24" s="112">
        <v>15201970</v>
      </c>
      <c r="E24" s="112">
        <v>3830</v>
      </c>
      <c r="F24" s="112">
        <v>211014</v>
      </c>
      <c r="G24" s="112">
        <v>14994786</v>
      </c>
      <c r="H24" s="112">
        <v>8139290</v>
      </c>
      <c r="I24" s="112">
        <v>15040153</v>
      </c>
      <c r="J24" s="112">
        <v>789129</v>
      </c>
      <c r="K24" s="112">
        <v>427185</v>
      </c>
      <c r="L24" s="112">
        <v>14340</v>
      </c>
      <c r="M24" s="112">
        <v>0</v>
      </c>
      <c r="N24" s="112">
        <v>0</v>
      </c>
      <c r="O24" s="112">
        <v>413155</v>
      </c>
    </row>
    <row r="25" spans="1:15" x14ac:dyDescent="0.2">
      <c r="A25" s="1">
        <v>150000</v>
      </c>
      <c r="B25" s="112" t="s">
        <v>53</v>
      </c>
      <c r="C25" s="112">
        <v>1293</v>
      </c>
      <c r="D25" s="112">
        <v>158317407</v>
      </c>
      <c r="E25" s="112">
        <v>699840</v>
      </c>
      <c r="F25" s="112">
        <v>1801447</v>
      </c>
      <c r="G25" s="112">
        <v>157215800</v>
      </c>
      <c r="H25" s="112">
        <v>74823047</v>
      </c>
      <c r="I25" s="112">
        <v>157681894</v>
      </c>
      <c r="J25" s="112">
        <v>8495597</v>
      </c>
      <c r="K25" s="112">
        <v>4033289</v>
      </c>
      <c r="L25" s="112">
        <v>232355</v>
      </c>
      <c r="M25" s="112">
        <v>9</v>
      </c>
      <c r="N25" s="112">
        <v>350</v>
      </c>
      <c r="O25" s="112">
        <v>3806242</v>
      </c>
    </row>
    <row r="26" spans="1:15" x14ac:dyDescent="0.2">
      <c r="A26" s="1">
        <v>200000</v>
      </c>
      <c r="B26" s="112" t="s">
        <v>54</v>
      </c>
      <c r="C26" s="112">
        <v>595</v>
      </c>
      <c r="D26" s="112">
        <v>102921373</v>
      </c>
      <c r="E26" s="112">
        <v>651221</v>
      </c>
      <c r="F26" s="112">
        <v>1223707</v>
      </c>
      <c r="G26" s="112">
        <v>102348887</v>
      </c>
      <c r="H26" s="112">
        <v>45193582</v>
      </c>
      <c r="I26" s="112">
        <v>102452618</v>
      </c>
      <c r="J26" s="112">
        <v>5701912</v>
      </c>
      <c r="K26" s="112">
        <v>2514584</v>
      </c>
      <c r="L26" s="112">
        <v>187468</v>
      </c>
      <c r="M26" s="112">
        <v>0</v>
      </c>
      <c r="N26" s="112">
        <v>0</v>
      </c>
      <c r="O26" s="112">
        <v>2338549</v>
      </c>
    </row>
    <row r="27" spans="1:15" x14ac:dyDescent="0.2">
      <c r="A27" s="1">
        <v>250000</v>
      </c>
      <c r="B27" s="112" t="s">
        <v>55</v>
      </c>
      <c r="C27" s="112">
        <v>280</v>
      </c>
      <c r="D27" s="112">
        <v>62306622</v>
      </c>
      <c r="E27" s="112">
        <v>802265</v>
      </c>
      <c r="F27" s="112">
        <v>1017918</v>
      </c>
      <c r="G27" s="112">
        <v>62090969</v>
      </c>
      <c r="H27" s="112">
        <v>23581324</v>
      </c>
      <c r="I27" s="112">
        <v>62420209</v>
      </c>
      <c r="J27" s="112">
        <v>3695087</v>
      </c>
      <c r="K27" s="112">
        <v>1396948</v>
      </c>
      <c r="L27" s="112">
        <v>141463</v>
      </c>
      <c r="M27" s="112">
        <v>0</v>
      </c>
      <c r="N27" s="112">
        <v>0</v>
      </c>
      <c r="O27" s="112">
        <v>1256639</v>
      </c>
    </row>
    <row r="28" spans="1:15" x14ac:dyDescent="0.2">
      <c r="A28" s="1">
        <v>350000</v>
      </c>
      <c r="B28" s="112" t="s">
        <v>56</v>
      </c>
      <c r="C28" s="112">
        <v>294</v>
      </c>
      <c r="D28" s="112">
        <v>85921753</v>
      </c>
      <c r="E28" s="112">
        <v>1429309</v>
      </c>
      <c r="F28" s="112">
        <v>970369</v>
      </c>
      <c r="G28" s="112">
        <v>86380693</v>
      </c>
      <c r="H28" s="112">
        <v>31779362</v>
      </c>
      <c r="I28" s="112">
        <v>86486448</v>
      </c>
      <c r="J28" s="112">
        <v>5671227</v>
      </c>
      <c r="K28" s="112">
        <v>2083149</v>
      </c>
      <c r="L28" s="112">
        <v>197437</v>
      </c>
      <c r="M28" s="112">
        <v>0</v>
      </c>
      <c r="N28" s="112">
        <v>0</v>
      </c>
      <c r="O28" s="112">
        <v>1890448</v>
      </c>
    </row>
    <row r="29" spans="1:15" x14ac:dyDescent="0.2">
      <c r="A29" s="1">
        <v>500000</v>
      </c>
      <c r="B29" s="112" t="s">
        <v>57</v>
      </c>
      <c r="C29" s="112">
        <v>203</v>
      </c>
      <c r="D29" s="112">
        <v>84105004</v>
      </c>
      <c r="E29" s="112">
        <v>2210311</v>
      </c>
      <c r="F29" s="112">
        <v>914539</v>
      </c>
      <c r="G29" s="112">
        <v>85400776</v>
      </c>
      <c r="H29" s="112">
        <v>28611659</v>
      </c>
      <c r="I29" s="112">
        <v>85580476</v>
      </c>
      <c r="J29" s="112">
        <v>5895919</v>
      </c>
      <c r="K29" s="112">
        <v>1971847</v>
      </c>
      <c r="L29" s="112">
        <v>170739</v>
      </c>
      <c r="M29" s="112">
        <v>0</v>
      </c>
      <c r="N29" s="112">
        <v>0</v>
      </c>
      <c r="O29" s="112">
        <v>1817677</v>
      </c>
    </row>
    <row r="30" spans="1:15" x14ac:dyDescent="0.2">
      <c r="A30" s="1">
        <v>1000000</v>
      </c>
      <c r="B30" s="112" t="s">
        <v>58</v>
      </c>
      <c r="C30" s="112">
        <v>224</v>
      </c>
      <c r="D30" s="112">
        <v>155024252</v>
      </c>
      <c r="E30" s="112">
        <v>2752054</v>
      </c>
      <c r="F30" s="112">
        <v>2235893</v>
      </c>
      <c r="G30" s="112">
        <v>155540413</v>
      </c>
      <c r="H30" s="112">
        <v>35547122</v>
      </c>
      <c r="I30" s="112">
        <v>155640292</v>
      </c>
      <c r="J30" s="112">
        <v>10858896</v>
      </c>
      <c r="K30" s="112">
        <v>2479483</v>
      </c>
      <c r="L30" s="112">
        <v>249734</v>
      </c>
      <c r="M30" s="112">
        <v>0</v>
      </c>
      <c r="N30" s="112">
        <v>25</v>
      </c>
      <c r="O30" s="112">
        <v>2263112</v>
      </c>
    </row>
    <row r="31" spans="1:15" x14ac:dyDescent="0.2">
      <c r="A31" s="1">
        <v>2000000</v>
      </c>
      <c r="B31" s="112" t="s">
        <v>59</v>
      </c>
      <c r="C31" s="112">
        <v>132</v>
      </c>
      <c r="D31" s="112">
        <v>183650555</v>
      </c>
      <c r="E31" s="112">
        <v>5060416</v>
      </c>
      <c r="F31" s="112">
        <v>2766849</v>
      </c>
      <c r="G31" s="112">
        <v>185944122</v>
      </c>
      <c r="H31" s="112">
        <v>33138880</v>
      </c>
      <c r="I31" s="112">
        <v>185945772</v>
      </c>
      <c r="J31" s="112">
        <v>12991009</v>
      </c>
      <c r="K31" s="112">
        <v>2315248</v>
      </c>
      <c r="L31" s="112">
        <v>443103</v>
      </c>
      <c r="M31" s="112">
        <v>0</v>
      </c>
      <c r="N31" s="112">
        <v>279</v>
      </c>
      <c r="O31" s="112">
        <v>1879941</v>
      </c>
    </row>
    <row r="32" spans="1:15" x14ac:dyDescent="0.2">
      <c r="A32" s="1">
        <v>2000001</v>
      </c>
      <c r="B32" s="112" t="s">
        <v>60</v>
      </c>
      <c r="C32" s="112">
        <v>289</v>
      </c>
      <c r="D32" s="112">
        <v>5812560813</v>
      </c>
      <c r="E32" s="112">
        <v>94952985</v>
      </c>
      <c r="F32" s="112">
        <v>87944858</v>
      </c>
      <c r="G32" s="112">
        <v>5819568940</v>
      </c>
      <c r="H32" s="112">
        <v>43817364</v>
      </c>
      <c r="I32" s="112">
        <v>5821537178</v>
      </c>
      <c r="J32" s="112">
        <v>406910992</v>
      </c>
      <c r="K32" s="112">
        <v>3062771</v>
      </c>
      <c r="L32" s="112">
        <v>375548</v>
      </c>
      <c r="M32" s="112">
        <v>0</v>
      </c>
      <c r="N32" s="112">
        <v>0</v>
      </c>
      <c r="O32" s="112">
        <v>5417600</v>
      </c>
    </row>
    <row r="34" spans="1:15" x14ac:dyDescent="0.2">
      <c r="A34" s="4"/>
      <c r="B34" s="112" t="s">
        <v>61</v>
      </c>
      <c r="C34" s="112">
        <v>9083</v>
      </c>
      <c r="D34" s="112">
        <v>6931050096</v>
      </c>
      <c r="E34" s="112">
        <v>110025623</v>
      </c>
      <c r="F34" s="112">
        <v>114045961</v>
      </c>
      <c r="G34" s="112">
        <v>6927029758</v>
      </c>
      <c r="H34" s="112">
        <v>458692775</v>
      </c>
      <c r="I34" s="112">
        <v>6932873581</v>
      </c>
      <c r="J34" s="112">
        <v>472561648</v>
      </c>
      <c r="K34" s="112">
        <v>26227069</v>
      </c>
      <c r="L34" s="112">
        <v>2236258</v>
      </c>
      <c r="M34" s="112">
        <v>1948</v>
      </c>
      <c r="N34" s="112">
        <v>654</v>
      </c>
      <c r="O34" s="112">
        <v>26823024</v>
      </c>
    </row>
    <row r="36" spans="1:15" x14ac:dyDescent="0.2">
      <c r="C36" s="119"/>
      <c r="D36" s="119"/>
      <c r="E36" s="119"/>
      <c r="F36" s="119"/>
      <c r="G36" s="119"/>
      <c r="H36" s="119"/>
      <c r="I36" s="119"/>
      <c r="J36" s="119"/>
      <c r="K36" s="119"/>
      <c r="L36" s="119"/>
      <c r="M36" s="119"/>
      <c r="N36" s="119"/>
      <c r="O36" s="119"/>
    </row>
  </sheetData>
  <pageMargins left="0.75" right="0.75" top="1" bottom="1" header="0.5" footer="0.5"/>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CA6F5-D8D2-4CDC-A365-A33A04B03C5C}">
  <sheetPr>
    <tabColor theme="7"/>
  </sheetPr>
  <dimension ref="A1:Q36"/>
  <sheetViews>
    <sheetView workbookViewId="0"/>
  </sheetViews>
  <sheetFormatPr defaultColWidth="9.140625" defaultRowHeight="12.75" x14ac:dyDescent="0.2"/>
  <cols>
    <col min="1" max="1" width="22.7109375" style="1" customWidth="1"/>
    <col min="2" max="2" width="25.7109375" style="112" bestFit="1" customWidth="1"/>
    <col min="3" max="3" width="14.7109375" style="112" customWidth="1"/>
    <col min="4" max="4" width="12.7109375" style="112" bestFit="1" customWidth="1"/>
    <col min="5" max="5" width="13.140625" style="112" bestFit="1" customWidth="1"/>
    <col min="6" max="6" width="13.28515625" style="112" bestFit="1" customWidth="1"/>
    <col min="7" max="7" width="13.7109375" style="112" bestFit="1" customWidth="1"/>
    <col min="8" max="8" width="16.7109375" style="112" bestFit="1" customWidth="1"/>
    <col min="9" max="9" width="12.7109375" style="112" bestFit="1" customWidth="1"/>
    <col min="10" max="10" width="11.140625" style="112" bestFit="1" customWidth="1"/>
    <col min="11" max="11" width="10.140625" style="112" bestFit="1" customWidth="1"/>
    <col min="12" max="12" width="14.7109375" style="112" bestFit="1" customWidth="1"/>
    <col min="13" max="13" width="6.7109375" style="112" bestFit="1" customWidth="1"/>
    <col min="14" max="14" width="20.140625" style="112" customWidth="1"/>
    <col min="15" max="15" width="12.7109375" style="112" bestFit="1" customWidth="1"/>
    <col min="16" max="16384" width="9.140625" style="112"/>
  </cols>
  <sheetData>
    <row r="1" spans="1:17" ht="89.25" x14ac:dyDescent="0.2">
      <c r="A1" s="98" t="s">
        <v>603</v>
      </c>
      <c r="B1" s="113" t="s">
        <v>64</v>
      </c>
      <c r="C1" s="124" t="s">
        <v>660</v>
      </c>
      <c r="N1" s="117" t="s">
        <v>3</v>
      </c>
    </row>
    <row r="2" spans="1:17" s="121" customFormat="1" x14ac:dyDescent="0.2">
      <c r="A2" s="1"/>
      <c r="C2" s="122"/>
      <c r="D2" s="120" t="s">
        <v>19</v>
      </c>
      <c r="E2" s="120" t="s">
        <v>20</v>
      </c>
      <c r="F2" s="120" t="s">
        <v>21</v>
      </c>
      <c r="G2" s="120" t="s">
        <v>22</v>
      </c>
      <c r="H2" s="120" t="s">
        <v>23</v>
      </c>
      <c r="I2" s="120" t="s">
        <v>24</v>
      </c>
      <c r="J2" s="120" t="s">
        <v>105</v>
      </c>
      <c r="K2" s="120" t="s">
        <v>104</v>
      </c>
      <c r="L2" s="120" t="s">
        <v>103</v>
      </c>
      <c r="M2" s="120" t="s">
        <v>102</v>
      </c>
      <c r="N2" s="117" t="s">
        <v>101</v>
      </c>
      <c r="O2" s="120" t="s">
        <v>31</v>
      </c>
      <c r="P2" s="122"/>
      <c r="Q2" s="122"/>
    </row>
    <row r="3" spans="1:17" s="121" customFormat="1" ht="12" x14ac:dyDescent="0.2">
      <c r="A3" s="2"/>
      <c r="B3" s="123" t="s">
        <v>100</v>
      </c>
      <c r="C3" s="123" t="s">
        <v>99</v>
      </c>
      <c r="D3" s="123" t="s">
        <v>98</v>
      </c>
      <c r="E3" s="123" t="s">
        <v>97</v>
      </c>
      <c r="F3" s="123" t="s">
        <v>96</v>
      </c>
      <c r="G3" s="123" t="s">
        <v>95</v>
      </c>
      <c r="H3" s="123" t="s">
        <v>94</v>
      </c>
      <c r="I3" s="123" t="s">
        <v>93</v>
      </c>
      <c r="J3" s="123" t="s">
        <v>65</v>
      </c>
      <c r="K3" s="123" t="s">
        <v>92</v>
      </c>
      <c r="L3" s="123" t="s">
        <v>91</v>
      </c>
      <c r="M3" s="123" t="s">
        <v>90</v>
      </c>
      <c r="N3" s="116" t="s">
        <v>28</v>
      </c>
      <c r="O3" s="123" t="s">
        <v>89</v>
      </c>
      <c r="P3" s="122"/>
      <c r="Q3" s="122"/>
    </row>
    <row r="4" spans="1:17" x14ac:dyDescent="0.2">
      <c r="A4" s="1">
        <v>5000</v>
      </c>
      <c r="B4" s="112" t="s">
        <v>32</v>
      </c>
      <c r="C4" s="112">
        <v>271</v>
      </c>
      <c r="D4" s="112">
        <v>1346883</v>
      </c>
      <c r="E4" s="112">
        <v>1413</v>
      </c>
      <c r="F4" s="112">
        <v>599857</v>
      </c>
      <c r="G4" s="112">
        <v>748439</v>
      </c>
      <c r="H4" s="112">
        <v>546541</v>
      </c>
      <c r="I4" s="112">
        <v>915144</v>
      </c>
      <c r="J4" s="112">
        <v>1547</v>
      </c>
      <c r="K4" s="112">
        <v>1547</v>
      </c>
      <c r="L4" s="112">
        <v>0</v>
      </c>
      <c r="M4" s="112">
        <v>0</v>
      </c>
      <c r="N4" s="112">
        <v>0</v>
      </c>
      <c r="O4" s="112">
        <v>1547</v>
      </c>
    </row>
    <row r="5" spans="1:17" x14ac:dyDescent="0.2">
      <c r="A5" s="1">
        <v>10000</v>
      </c>
      <c r="B5" s="112" t="s">
        <v>33</v>
      </c>
      <c r="C5" s="112">
        <v>435</v>
      </c>
      <c r="D5" s="112">
        <v>3522793</v>
      </c>
      <c r="E5" s="112">
        <v>4939</v>
      </c>
      <c r="F5" s="112">
        <v>200931</v>
      </c>
      <c r="G5" s="112">
        <v>3326801</v>
      </c>
      <c r="H5" s="112">
        <v>2110253</v>
      </c>
      <c r="I5" s="112">
        <v>3649707</v>
      </c>
      <c r="J5" s="112">
        <v>3250</v>
      </c>
      <c r="K5" s="112">
        <v>3250</v>
      </c>
      <c r="L5" s="112">
        <v>0</v>
      </c>
      <c r="M5" s="112">
        <v>0</v>
      </c>
      <c r="N5" s="112">
        <v>0</v>
      </c>
      <c r="O5" s="112">
        <v>3250</v>
      </c>
    </row>
    <row r="6" spans="1:17" x14ac:dyDescent="0.2">
      <c r="A6" s="1">
        <v>12000</v>
      </c>
      <c r="B6" s="112" t="s">
        <v>34</v>
      </c>
      <c r="C6" s="112">
        <v>272</v>
      </c>
      <c r="D6" s="112">
        <v>3032594</v>
      </c>
      <c r="E6" s="112">
        <v>12546</v>
      </c>
      <c r="F6" s="112">
        <v>53183</v>
      </c>
      <c r="G6" s="112">
        <v>2991957</v>
      </c>
      <c r="H6" s="112">
        <v>1788776</v>
      </c>
      <c r="I6" s="112">
        <v>3079776</v>
      </c>
      <c r="J6" s="112">
        <v>56</v>
      </c>
      <c r="K6" s="112">
        <v>56</v>
      </c>
      <c r="L6" s="112">
        <v>0</v>
      </c>
      <c r="M6" s="112">
        <v>0</v>
      </c>
      <c r="N6" s="112">
        <v>0</v>
      </c>
      <c r="O6" s="112">
        <v>56</v>
      </c>
    </row>
    <row r="7" spans="1:17" x14ac:dyDescent="0.2">
      <c r="A7" s="1">
        <v>15000</v>
      </c>
      <c r="B7" s="112" t="s">
        <v>35</v>
      </c>
      <c r="C7" s="112">
        <v>455</v>
      </c>
      <c r="D7" s="112">
        <v>6292675</v>
      </c>
      <c r="E7" s="112">
        <v>7603</v>
      </c>
      <c r="F7" s="112">
        <v>168416</v>
      </c>
      <c r="G7" s="112">
        <v>6131862</v>
      </c>
      <c r="H7" s="112">
        <v>3789970</v>
      </c>
      <c r="I7" s="112">
        <v>6532618</v>
      </c>
      <c r="J7" s="112">
        <v>12687</v>
      </c>
      <c r="K7" s="112">
        <v>12687</v>
      </c>
      <c r="L7" s="112">
        <v>0</v>
      </c>
      <c r="M7" s="112">
        <v>0</v>
      </c>
      <c r="N7" s="112">
        <v>0</v>
      </c>
      <c r="O7" s="112">
        <v>12687</v>
      </c>
    </row>
    <row r="8" spans="1:17" x14ac:dyDescent="0.2">
      <c r="A8" s="1">
        <v>19000</v>
      </c>
      <c r="B8" s="112" t="s">
        <v>36</v>
      </c>
      <c r="C8" s="112">
        <v>757</v>
      </c>
      <c r="D8" s="112">
        <v>13412539</v>
      </c>
      <c r="E8" s="112">
        <v>26338</v>
      </c>
      <c r="F8" s="112">
        <v>528985</v>
      </c>
      <c r="G8" s="112">
        <v>12909892</v>
      </c>
      <c r="H8" s="112">
        <v>7357586</v>
      </c>
      <c r="I8" s="112">
        <v>13324137</v>
      </c>
      <c r="J8" s="112">
        <v>9335</v>
      </c>
      <c r="K8" s="112">
        <v>9335</v>
      </c>
      <c r="L8" s="112">
        <v>4</v>
      </c>
      <c r="M8" s="112">
        <v>0</v>
      </c>
      <c r="N8" s="112">
        <v>0</v>
      </c>
      <c r="O8" s="112">
        <v>9331</v>
      </c>
    </row>
    <row r="9" spans="1:17" x14ac:dyDescent="0.2">
      <c r="A9" s="1">
        <v>20000</v>
      </c>
      <c r="B9" s="112" t="s">
        <v>37</v>
      </c>
      <c r="C9" s="112">
        <v>199</v>
      </c>
      <c r="D9" s="112">
        <v>4020651</v>
      </c>
      <c r="E9" s="112">
        <v>2205</v>
      </c>
      <c r="F9" s="112">
        <v>144123</v>
      </c>
      <c r="G9" s="112">
        <v>3878733</v>
      </c>
      <c r="H9" s="112">
        <v>2212930</v>
      </c>
      <c r="I9" s="112">
        <v>3971555</v>
      </c>
      <c r="J9" s="112">
        <v>3202</v>
      </c>
      <c r="K9" s="112">
        <v>2886</v>
      </c>
      <c r="L9" s="112">
        <v>1</v>
      </c>
      <c r="M9" s="112">
        <v>0</v>
      </c>
      <c r="N9" s="112">
        <v>0</v>
      </c>
      <c r="O9" s="112">
        <v>2888</v>
      </c>
    </row>
    <row r="10" spans="1:17" x14ac:dyDescent="0.2">
      <c r="A10" s="1">
        <v>24000</v>
      </c>
      <c r="B10" s="112" t="s">
        <v>38</v>
      </c>
      <c r="C10" s="112">
        <v>844</v>
      </c>
      <c r="D10" s="112">
        <v>18794548</v>
      </c>
      <c r="E10" s="112">
        <v>13038</v>
      </c>
      <c r="F10" s="112">
        <v>297821</v>
      </c>
      <c r="G10" s="112">
        <v>18509765</v>
      </c>
      <c r="H10" s="112">
        <v>9821399</v>
      </c>
      <c r="I10" s="112">
        <v>18760972</v>
      </c>
      <c r="J10" s="112">
        <v>26184</v>
      </c>
      <c r="K10" s="112">
        <v>17164</v>
      </c>
      <c r="L10" s="112">
        <v>370</v>
      </c>
      <c r="M10" s="112">
        <v>0</v>
      </c>
      <c r="N10" s="112">
        <v>0</v>
      </c>
      <c r="O10" s="112">
        <v>17154</v>
      </c>
    </row>
    <row r="11" spans="1:17" x14ac:dyDescent="0.2">
      <c r="A11" s="1">
        <v>25000</v>
      </c>
      <c r="B11" s="112" t="s">
        <v>39</v>
      </c>
      <c r="C11" s="112">
        <v>219</v>
      </c>
      <c r="D11" s="112">
        <v>5456904</v>
      </c>
      <c r="E11" s="112">
        <v>2612</v>
      </c>
      <c r="F11" s="112">
        <v>97479</v>
      </c>
      <c r="G11" s="112">
        <v>5362037</v>
      </c>
      <c r="H11" s="112">
        <v>2816686</v>
      </c>
      <c r="I11" s="112">
        <v>5430597</v>
      </c>
      <c r="J11" s="112">
        <v>13854</v>
      </c>
      <c r="K11" s="112">
        <v>8095</v>
      </c>
      <c r="L11" s="112">
        <v>13</v>
      </c>
      <c r="M11" s="112">
        <v>0</v>
      </c>
      <c r="N11" s="112">
        <v>0</v>
      </c>
      <c r="O11" s="112">
        <v>8082</v>
      </c>
    </row>
    <row r="12" spans="1:17" x14ac:dyDescent="0.2">
      <c r="A12" s="1">
        <v>30000</v>
      </c>
      <c r="B12" s="112" t="s">
        <v>40</v>
      </c>
      <c r="C12" s="112">
        <v>1111</v>
      </c>
      <c r="D12" s="112">
        <v>30971591</v>
      </c>
      <c r="E12" s="112">
        <v>27923</v>
      </c>
      <c r="F12" s="112">
        <v>515048</v>
      </c>
      <c r="G12" s="112">
        <v>30484466</v>
      </c>
      <c r="H12" s="112">
        <v>16056865</v>
      </c>
      <c r="I12" s="112">
        <v>31025896</v>
      </c>
      <c r="J12" s="112">
        <v>191173</v>
      </c>
      <c r="K12" s="112">
        <v>111088</v>
      </c>
      <c r="L12" s="112">
        <v>1239</v>
      </c>
      <c r="M12" s="112">
        <v>0</v>
      </c>
      <c r="N12" s="112">
        <v>0</v>
      </c>
      <c r="O12" s="112">
        <v>110630</v>
      </c>
    </row>
    <row r="13" spans="1:17" x14ac:dyDescent="0.2">
      <c r="A13" s="1">
        <v>34000</v>
      </c>
      <c r="B13" s="112" t="s">
        <v>41</v>
      </c>
      <c r="C13" s="112">
        <v>854</v>
      </c>
      <c r="D13" s="112">
        <v>28037897</v>
      </c>
      <c r="E13" s="112">
        <v>48880</v>
      </c>
      <c r="F13" s="112">
        <v>796171</v>
      </c>
      <c r="G13" s="112">
        <v>27290606</v>
      </c>
      <c r="H13" s="112">
        <v>14409522</v>
      </c>
      <c r="I13" s="112">
        <v>27568176</v>
      </c>
      <c r="J13" s="112">
        <v>232687</v>
      </c>
      <c r="K13" s="112">
        <v>128732</v>
      </c>
      <c r="L13" s="112">
        <v>768</v>
      </c>
      <c r="M13" s="112">
        <v>0</v>
      </c>
      <c r="N13" s="112">
        <v>0</v>
      </c>
      <c r="O13" s="112">
        <v>128259</v>
      </c>
    </row>
    <row r="14" spans="1:17" x14ac:dyDescent="0.2">
      <c r="A14" s="1">
        <v>35000</v>
      </c>
      <c r="B14" s="112" t="s">
        <v>42</v>
      </c>
      <c r="C14" s="112">
        <v>200</v>
      </c>
      <c r="D14" s="112">
        <v>6970636</v>
      </c>
      <c r="E14" s="112">
        <v>6918</v>
      </c>
      <c r="F14" s="112">
        <v>79036</v>
      </c>
      <c r="G14" s="112">
        <v>6898518</v>
      </c>
      <c r="H14" s="112">
        <v>3658230</v>
      </c>
      <c r="I14" s="112">
        <v>7005810</v>
      </c>
      <c r="J14" s="112">
        <v>75747</v>
      </c>
      <c r="K14" s="112">
        <v>42993</v>
      </c>
      <c r="L14" s="112">
        <v>1189</v>
      </c>
      <c r="M14" s="112">
        <v>0</v>
      </c>
      <c r="N14" s="112">
        <v>0</v>
      </c>
      <c r="O14" s="112">
        <v>42252</v>
      </c>
    </row>
    <row r="15" spans="1:17" x14ac:dyDescent="0.2">
      <c r="A15" s="1">
        <v>40000</v>
      </c>
      <c r="B15" s="112" t="s">
        <v>43</v>
      </c>
      <c r="C15" s="112">
        <v>965</v>
      </c>
      <c r="D15" s="112">
        <v>36844014</v>
      </c>
      <c r="E15" s="112">
        <v>60968</v>
      </c>
      <c r="F15" s="112">
        <v>742672</v>
      </c>
      <c r="G15" s="112">
        <v>36162310</v>
      </c>
      <c r="H15" s="112">
        <v>19866967</v>
      </c>
      <c r="I15" s="112">
        <v>36565125</v>
      </c>
      <c r="J15" s="112">
        <v>551299</v>
      </c>
      <c r="K15" s="112">
        <v>312589</v>
      </c>
      <c r="L15" s="112">
        <v>3798</v>
      </c>
      <c r="M15" s="112">
        <v>0</v>
      </c>
      <c r="N15" s="112">
        <v>0</v>
      </c>
      <c r="O15" s="112">
        <v>312389</v>
      </c>
    </row>
    <row r="16" spans="1:17" x14ac:dyDescent="0.2">
      <c r="A16" s="1">
        <v>44000</v>
      </c>
      <c r="B16" s="112" t="s">
        <v>44</v>
      </c>
      <c r="C16" s="112">
        <v>696</v>
      </c>
      <c r="D16" s="112">
        <v>29470254</v>
      </c>
      <c r="E16" s="112">
        <v>75124</v>
      </c>
      <c r="F16" s="112">
        <v>324994</v>
      </c>
      <c r="G16" s="112">
        <v>29220384</v>
      </c>
      <c r="H16" s="112">
        <v>16144925</v>
      </c>
      <c r="I16" s="112">
        <v>29580525</v>
      </c>
      <c r="J16" s="112">
        <v>650588</v>
      </c>
      <c r="K16" s="112">
        <v>363121</v>
      </c>
      <c r="L16" s="112">
        <v>5252</v>
      </c>
      <c r="M16" s="112">
        <v>0</v>
      </c>
      <c r="N16" s="112">
        <v>0</v>
      </c>
      <c r="O16" s="112">
        <v>358719</v>
      </c>
    </row>
    <row r="17" spans="1:15" x14ac:dyDescent="0.2">
      <c r="A17" s="1">
        <v>45000</v>
      </c>
      <c r="B17" s="112" t="s">
        <v>45</v>
      </c>
      <c r="C17" s="112">
        <v>184</v>
      </c>
      <c r="D17" s="112">
        <v>8254511</v>
      </c>
      <c r="E17" s="112">
        <v>20060</v>
      </c>
      <c r="F17" s="112">
        <v>80905</v>
      </c>
      <c r="G17" s="112">
        <v>8193666</v>
      </c>
      <c r="H17" s="112">
        <v>4303494</v>
      </c>
      <c r="I17" s="112">
        <v>8231529</v>
      </c>
      <c r="J17" s="112">
        <v>211861</v>
      </c>
      <c r="K17" s="112">
        <v>112026</v>
      </c>
      <c r="L17" s="112">
        <v>522</v>
      </c>
      <c r="M17" s="112">
        <v>0</v>
      </c>
      <c r="N17" s="112">
        <v>0</v>
      </c>
      <c r="O17" s="112">
        <v>111504</v>
      </c>
    </row>
    <row r="18" spans="1:15" x14ac:dyDescent="0.2">
      <c r="A18" s="1">
        <v>48000</v>
      </c>
      <c r="B18" s="112" t="s">
        <v>46</v>
      </c>
      <c r="C18" s="112">
        <v>488</v>
      </c>
      <c r="D18" s="112">
        <v>22817308</v>
      </c>
      <c r="E18" s="112">
        <v>27474</v>
      </c>
      <c r="F18" s="112">
        <v>185407</v>
      </c>
      <c r="G18" s="112">
        <v>22659375</v>
      </c>
      <c r="H18" s="112">
        <v>12353933</v>
      </c>
      <c r="I18" s="112">
        <v>22852361</v>
      </c>
      <c r="J18" s="112">
        <v>670473</v>
      </c>
      <c r="K18" s="112">
        <v>367289</v>
      </c>
      <c r="L18" s="112">
        <v>4377</v>
      </c>
      <c r="M18" s="112">
        <v>0</v>
      </c>
      <c r="N18" s="112">
        <v>0</v>
      </c>
      <c r="O18" s="112">
        <v>365723</v>
      </c>
    </row>
    <row r="19" spans="1:15" x14ac:dyDescent="0.2">
      <c r="A19" s="1">
        <v>50000</v>
      </c>
      <c r="B19" s="112" t="s">
        <v>47</v>
      </c>
      <c r="C19" s="112">
        <v>295</v>
      </c>
      <c r="D19" s="112">
        <v>14623420</v>
      </c>
      <c r="E19" s="112">
        <v>9818</v>
      </c>
      <c r="F19" s="112">
        <v>187492</v>
      </c>
      <c r="G19" s="112">
        <v>14445746</v>
      </c>
      <c r="H19" s="112">
        <v>8274662</v>
      </c>
      <c r="I19" s="112">
        <v>14535738</v>
      </c>
      <c r="J19" s="112">
        <v>472079</v>
      </c>
      <c r="K19" s="112">
        <v>270743</v>
      </c>
      <c r="L19" s="112">
        <v>2738</v>
      </c>
      <c r="M19" s="112">
        <v>0</v>
      </c>
      <c r="N19" s="112">
        <v>508</v>
      </c>
      <c r="O19" s="112">
        <v>268585</v>
      </c>
    </row>
    <row r="20" spans="1:15" x14ac:dyDescent="0.2">
      <c r="A20" s="1">
        <v>60000</v>
      </c>
      <c r="B20" s="112" t="s">
        <v>48</v>
      </c>
      <c r="C20" s="112">
        <v>1366</v>
      </c>
      <c r="D20" s="112">
        <v>76334579</v>
      </c>
      <c r="E20" s="112">
        <v>166770</v>
      </c>
      <c r="F20" s="112">
        <v>1371178</v>
      </c>
      <c r="G20" s="112">
        <v>75130171</v>
      </c>
      <c r="H20" s="112">
        <v>39245463</v>
      </c>
      <c r="I20" s="112">
        <v>75703479</v>
      </c>
      <c r="J20" s="112">
        <v>2892095</v>
      </c>
      <c r="K20" s="112">
        <v>1504876</v>
      </c>
      <c r="L20" s="112">
        <v>18378</v>
      </c>
      <c r="M20" s="112">
        <v>0</v>
      </c>
      <c r="N20" s="112">
        <v>0</v>
      </c>
      <c r="O20" s="112">
        <v>1492440</v>
      </c>
    </row>
    <row r="21" spans="1:15" x14ac:dyDescent="0.2">
      <c r="A21" s="1">
        <v>74000</v>
      </c>
      <c r="B21" s="112" t="s">
        <v>49</v>
      </c>
      <c r="C21" s="112">
        <v>1611</v>
      </c>
      <c r="D21" s="112">
        <v>108252618</v>
      </c>
      <c r="E21" s="112">
        <v>137704</v>
      </c>
      <c r="F21" s="112">
        <v>977905</v>
      </c>
      <c r="G21" s="112">
        <v>107412417</v>
      </c>
      <c r="H21" s="112">
        <v>57634139</v>
      </c>
      <c r="I21" s="112">
        <v>107994362</v>
      </c>
      <c r="J21" s="112">
        <v>4405752</v>
      </c>
      <c r="K21" s="112">
        <v>2357420</v>
      </c>
      <c r="L21" s="112">
        <v>30903</v>
      </c>
      <c r="M21" s="112">
        <v>0</v>
      </c>
      <c r="N21" s="112">
        <v>0</v>
      </c>
      <c r="O21" s="112">
        <v>2340244</v>
      </c>
    </row>
    <row r="22" spans="1:15" x14ac:dyDescent="0.2">
      <c r="A22" s="1">
        <v>75000</v>
      </c>
      <c r="B22" s="112" t="s">
        <v>50</v>
      </c>
      <c r="C22" s="112">
        <v>103</v>
      </c>
      <c r="D22" s="112">
        <v>7721940</v>
      </c>
      <c r="E22" s="112">
        <v>4120</v>
      </c>
      <c r="F22" s="112">
        <v>51920</v>
      </c>
      <c r="G22" s="112">
        <v>7674140</v>
      </c>
      <c r="H22" s="112">
        <v>4604258</v>
      </c>
      <c r="I22" s="112">
        <v>7774918</v>
      </c>
      <c r="J22" s="112">
        <v>329942</v>
      </c>
      <c r="K22" s="112">
        <v>197379</v>
      </c>
      <c r="L22" s="112">
        <v>2352</v>
      </c>
      <c r="M22" s="112">
        <v>0</v>
      </c>
      <c r="N22" s="112">
        <v>0</v>
      </c>
      <c r="O22" s="112">
        <v>195040</v>
      </c>
    </row>
    <row r="23" spans="1:15" x14ac:dyDescent="0.2">
      <c r="A23" s="1">
        <v>96000</v>
      </c>
      <c r="B23" s="112" t="s">
        <v>51</v>
      </c>
      <c r="C23" s="112">
        <v>1635</v>
      </c>
      <c r="D23" s="112">
        <v>138685945</v>
      </c>
      <c r="E23" s="112">
        <v>286113</v>
      </c>
      <c r="F23" s="112">
        <v>780068</v>
      </c>
      <c r="G23" s="112">
        <v>138191990</v>
      </c>
      <c r="H23" s="112">
        <v>72336826</v>
      </c>
      <c r="I23" s="112">
        <v>138779691</v>
      </c>
      <c r="J23" s="112">
        <v>6526826</v>
      </c>
      <c r="K23" s="112">
        <v>3404833</v>
      </c>
      <c r="L23" s="112">
        <v>96260</v>
      </c>
      <c r="M23" s="112">
        <v>0</v>
      </c>
      <c r="N23" s="112">
        <v>0</v>
      </c>
      <c r="O23" s="112">
        <v>3323205</v>
      </c>
    </row>
    <row r="24" spans="1:15" x14ac:dyDescent="0.2">
      <c r="A24" s="1">
        <v>100000</v>
      </c>
      <c r="B24" s="112" t="s">
        <v>52</v>
      </c>
      <c r="C24" s="112">
        <v>229</v>
      </c>
      <c r="D24" s="112">
        <v>22517699</v>
      </c>
      <c r="E24" s="112">
        <v>11324</v>
      </c>
      <c r="F24" s="112">
        <v>87846</v>
      </c>
      <c r="G24" s="112">
        <v>22441177</v>
      </c>
      <c r="H24" s="112">
        <v>12233331</v>
      </c>
      <c r="I24" s="112">
        <v>22510274</v>
      </c>
      <c r="J24" s="112">
        <v>1112970</v>
      </c>
      <c r="K24" s="112">
        <v>605332</v>
      </c>
      <c r="L24" s="112">
        <v>25722</v>
      </c>
      <c r="M24" s="112">
        <v>0</v>
      </c>
      <c r="N24" s="112">
        <v>0</v>
      </c>
      <c r="O24" s="112">
        <v>587843</v>
      </c>
    </row>
    <row r="25" spans="1:15" x14ac:dyDescent="0.2">
      <c r="A25" s="1">
        <v>150000</v>
      </c>
      <c r="B25" s="112" t="s">
        <v>53</v>
      </c>
      <c r="C25" s="112">
        <v>1552</v>
      </c>
      <c r="D25" s="112">
        <v>187754376</v>
      </c>
      <c r="E25" s="112">
        <v>603730</v>
      </c>
      <c r="F25" s="112">
        <v>1156998</v>
      </c>
      <c r="G25" s="112">
        <v>187201108</v>
      </c>
      <c r="H25" s="112">
        <v>89731421</v>
      </c>
      <c r="I25" s="112">
        <v>187633943</v>
      </c>
      <c r="J25" s="112">
        <v>9651850</v>
      </c>
      <c r="K25" s="112">
        <v>4617882</v>
      </c>
      <c r="L25" s="112">
        <v>157562</v>
      </c>
      <c r="M25" s="112">
        <v>0</v>
      </c>
      <c r="N25" s="112">
        <v>0</v>
      </c>
      <c r="O25" s="112">
        <v>4491106</v>
      </c>
    </row>
    <row r="26" spans="1:15" x14ac:dyDescent="0.2">
      <c r="A26" s="1">
        <v>200000</v>
      </c>
      <c r="B26" s="112" t="s">
        <v>54</v>
      </c>
      <c r="C26" s="112">
        <v>679</v>
      </c>
      <c r="D26" s="112">
        <v>116736726</v>
      </c>
      <c r="E26" s="112">
        <v>643859</v>
      </c>
      <c r="F26" s="112">
        <v>386242</v>
      </c>
      <c r="G26" s="112">
        <v>116994343</v>
      </c>
      <c r="H26" s="112">
        <v>48465621</v>
      </c>
      <c r="I26" s="112">
        <v>117095211</v>
      </c>
      <c r="J26" s="112">
        <v>6215417</v>
      </c>
      <c r="K26" s="112">
        <v>2572410</v>
      </c>
      <c r="L26" s="112">
        <v>111543</v>
      </c>
      <c r="M26" s="112">
        <v>0</v>
      </c>
      <c r="N26" s="112">
        <v>0</v>
      </c>
      <c r="O26" s="112">
        <v>2490997</v>
      </c>
    </row>
    <row r="27" spans="1:15" x14ac:dyDescent="0.2">
      <c r="A27" s="1">
        <v>250000</v>
      </c>
      <c r="B27" s="112" t="s">
        <v>55</v>
      </c>
      <c r="C27" s="112">
        <v>329</v>
      </c>
      <c r="D27" s="112">
        <v>73318500</v>
      </c>
      <c r="E27" s="112">
        <v>1969616</v>
      </c>
      <c r="F27" s="112">
        <v>2077632</v>
      </c>
      <c r="G27" s="112">
        <v>73210484</v>
      </c>
      <c r="H27" s="112">
        <v>30435630</v>
      </c>
      <c r="I27" s="112">
        <v>73326489</v>
      </c>
      <c r="J27" s="112">
        <v>4004857</v>
      </c>
      <c r="K27" s="112">
        <v>1662670</v>
      </c>
      <c r="L27" s="112">
        <v>78691</v>
      </c>
      <c r="M27" s="112">
        <v>0</v>
      </c>
      <c r="N27" s="112">
        <v>0</v>
      </c>
      <c r="O27" s="112">
        <v>1592676</v>
      </c>
    </row>
    <row r="28" spans="1:15" x14ac:dyDescent="0.2">
      <c r="A28" s="1">
        <v>350000</v>
      </c>
      <c r="B28" s="112" t="s">
        <v>56</v>
      </c>
      <c r="C28" s="112">
        <v>354</v>
      </c>
      <c r="D28" s="112">
        <v>102670470</v>
      </c>
      <c r="E28" s="112">
        <v>1476364</v>
      </c>
      <c r="F28" s="112">
        <v>563879</v>
      </c>
      <c r="G28" s="112">
        <v>103582955</v>
      </c>
      <c r="H28" s="112">
        <v>35574026</v>
      </c>
      <c r="I28" s="112">
        <v>103812331</v>
      </c>
      <c r="J28" s="112">
        <v>5829837</v>
      </c>
      <c r="K28" s="112">
        <v>1999704</v>
      </c>
      <c r="L28" s="112">
        <v>209025</v>
      </c>
      <c r="M28" s="112">
        <v>0</v>
      </c>
      <c r="N28" s="112">
        <v>0</v>
      </c>
      <c r="O28" s="112">
        <v>1811762</v>
      </c>
    </row>
    <row r="29" spans="1:15" x14ac:dyDescent="0.2">
      <c r="A29" s="1">
        <v>500000</v>
      </c>
      <c r="B29" s="112" t="s">
        <v>57</v>
      </c>
      <c r="C29" s="112">
        <v>222</v>
      </c>
      <c r="D29" s="112">
        <v>92807107</v>
      </c>
      <c r="E29" s="112">
        <v>1605484</v>
      </c>
      <c r="F29" s="112">
        <v>814367</v>
      </c>
      <c r="G29" s="112">
        <v>93598224</v>
      </c>
      <c r="H29" s="112">
        <v>30845140</v>
      </c>
      <c r="I29" s="112">
        <v>93658083</v>
      </c>
      <c r="J29" s="112">
        <v>5903710</v>
      </c>
      <c r="K29" s="112">
        <v>1940507</v>
      </c>
      <c r="L29" s="112">
        <v>107176</v>
      </c>
      <c r="M29" s="112">
        <v>0</v>
      </c>
      <c r="N29" s="112">
        <v>0</v>
      </c>
      <c r="O29" s="112">
        <v>1835971</v>
      </c>
    </row>
    <row r="30" spans="1:15" x14ac:dyDescent="0.2">
      <c r="A30" s="1">
        <v>1000000</v>
      </c>
      <c r="B30" s="112" t="s">
        <v>58</v>
      </c>
      <c r="C30" s="112">
        <v>280</v>
      </c>
      <c r="D30" s="112">
        <v>189517825</v>
      </c>
      <c r="E30" s="112">
        <v>5347415</v>
      </c>
      <c r="F30" s="112">
        <v>1658885</v>
      </c>
      <c r="G30" s="112">
        <v>193206355</v>
      </c>
      <c r="H30" s="112">
        <v>41185019</v>
      </c>
      <c r="I30" s="112">
        <v>193364616</v>
      </c>
      <c r="J30" s="112">
        <v>13307680</v>
      </c>
      <c r="K30" s="112">
        <v>2830049</v>
      </c>
      <c r="L30" s="112">
        <v>213617</v>
      </c>
      <c r="M30" s="112">
        <v>0</v>
      </c>
      <c r="N30" s="112">
        <v>0</v>
      </c>
      <c r="O30" s="112">
        <v>2642252</v>
      </c>
    </row>
    <row r="31" spans="1:15" x14ac:dyDescent="0.2">
      <c r="A31" s="1">
        <v>2000000</v>
      </c>
      <c r="B31" s="112" t="s">
        <v>59</v>
      </c>
      <c r="C31" s="112">
        <v>118</v>
      </c>
      <c r="D31" s="112">
        <v>164906128</v>
      </c>
      <c r="E31" s="112">
        <v>4347502</v>
      </c>
      <c r="F31" s="112">
        <v>1511152</v>
      </c>
      <c r="G31" s="112">
        <v>167742478</v>
      </c>
      <c r="H31" s="112">
        <v>25514884</v>
      </c>
      <c r="I31" s="112">
        <v>167745458</v>
      </c>
      <c r="J31" s="112">
        <v>11701809</v>
      </c>
      <c r="K31" s="112">
        <v>1779835</v>
      </c>
      <c r="L31" s="112">
        <v>322492</v>
      </c>
      <c r="M31" s="112">
        <v>0</v>
      </c>
      <c r="N31" s="112">
        <v>0</v>
      </c>
      <c r="O31" s="112">
        <v>1457967</v>
      </c>
    </row>
    <row r="32" spans="1:15" x14ac:dyDescent="0.2">
      <c r="A32" s="1">
        <v>2000001</v>
      </c>
      <c r="B32" s="112" t="s">
        <v>60</v>
      </c>
      <c r="C32" s="112">
        <v>170</v>
      </c>
      <c r="D32" s="112">
        <v>2254922591</v>
      </c>
      <c r="E32" s="112">
        <v>27463924</v>
      </c>
      <c r="F32" s="112">
        <v>13019310</v>
      </c>
      <c r="G32" s="112">
        <v>2269367205</v>
      </c>
      <c r="H32" s="112">
        <v>47425192</v>
      </c>
      <c r="I32" s="112">
        <v>2269367205</v>
      </c>
      <c r="J32" s="112">
        <v>158594768</v>
      </c>
      <c r="K32" s="112">
        <v>3314459</v>
      </c>
      <c r="L32" s="112">
        <v>162425</v>
      </c>
      <c r="M32" s="112">
        <v>0</v>
      </c>
      <c r="N32" s="112">
        <v>0</v>
      </c>
      <c r="O32" s="112">
        <v>3244733</v>
      </c>
    </row>
    <row r="34" spans="1:15" x14ac:dyDescent="0.2">
      <c r="A34" s="4"/>
      <c r="B34" s="112" t="s">
        <v>61</v>
      </c>
      <c r="C34" s="112">
        <v>16893</v>
      </c>
      <c r="D34" s="112">
        <v>3770015722</v>
      </c>
      <c r="E34" s="112">
        <v>44411784</v>
      </c>
      <c r="F34" s="112">
        <v>29459902</v>
      </c>
      <c r="G34" s="112">
        <v>3784967604</v>
      </c>
      <c r="H34" s="112">
        <v>660743689</v>
      </c>
      <c r="I34" s="112">
        <v>3791795726</v>
      </c>
      <c r="J34" s="112">
        <v>233603535</v>
      </c>
      <c r="K34" s="112">
        <v>30550957</v>
      </c>
      <c r="L34" s="112">
        <v>1556417</v>
      </c>
      <c r="M34" s="112">
        <v>0</v>
      </c>
      <c r="N34" s="112">
        <v>508</v>
      </c>
      <c r="O34" s="112">
        <v>29259292</v>
      </c>
    </row>
    <row r="36" spans="1:15" x14ac:dyDescent="0.2">
      <c r="C36" s="119"/>
      <c r="D36" s="119"/>
      <c r="E36" s="119"/>
      <c r="F36" s="119"/>
      <c r="G36" s="119"/>
      <c r="H36" s="119"/>
      <c r="I36" s="119"/>
      <c r="J36" s="119"/>
      <c r="K36" s="119"/>
      <c r="L36" s="119"/>
      <c r="M36" s="119"/>
      <c r="N36" s="119"/>
      <c r="O36" s="119"/>
    </row>
  </sheetData>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5" tint="0.39997558519241921"/>
  </sheetPr>
  <dimension ref="A1:C21"/>
  <sheetViews>
    <sheetView showGridLines="0" workbookViewId="0"/>
  </sheetViews>
  <sheetFormatPr defaultColWidth="8.7109375" defaultRowHeight="15" x14ac:dyDescent="0.25"/>
  <cols>
    <col min="1" max="1" width="12.7109375" customWidth="1"/>
    <col min="2" max="2" width="43.28515625" bestFit="1" customWidth="1"/>
    <col min="3" max="3" width="166.7109375" customWidth="1"/>
  </cols>
  <sheetData>
    <row r="1" spans="1:3" x14ac:dyDescent="0.25">
      <c r="A1" s="74" t="s">
        <v>456</v>
      </c>
      <c r="B1" s="69" t="s">
        <v>458</v>
      </c>
    </row>
    <row r="2" spans="1:3" x14ac:dyDescent="0.25">
      <c r="A2" s="74" t="s">
        <v>457</v>
      </c>
      <c r="B2" s="137">
        <v>44593</v>
      </c>
    </row>
    <row r="5" spans="1:3" x14ac:dyDescent="0.25">
      <c r="A5" s="75" t="s">
        <v>459</v>
      </c>
      <c r="B5" s="76" t="s">
        <v>133</v>
      </c>
      <c r="C5" s="76" t="s">
        <v>352</v>
      </c>
    </row>
    <row r="6" spans="1:3" x14ac:dyDescent="0.25">
      <c r="A6" s="77"/>
      <c r="B6" s="79" t="s">
        <v>470</v>
      </c>
      <c r="C6" s="77"/>
    </row>
    <row r="7" spans="1:3" x14ac:dyDescent="0.25">
      <c r="A7" s="69">
        <v>1</v>
      </c>
      <c r="B7" s="78" t="s">
        <v>607</v>
      </c>
      <c r="C7" s="99" t="s">
        <v>656</v>
      </c>
    </row>
    <row r="8" spans="1:3" x14ac:dyDescent="0.25">
      <c r="A8" s="69">
        <v>2</v>
      </c>
      <c r="B8" s="78" t="s">
        <v>466</v>
      </c>
      <c r="C8" s="99" t="s">
        <v>657</v>
      </c>
    </row>
    <row r="9" spans="1:3" x14ac:dyDescent="0.25">
      <c r="A9" s="69">
        <v>3</v>
      </c>
      <c r="B9" s="78" t="s">
        <v>465</v>
      </c>
      <c r="C9" s="99" t="s">
        <v>679</v>
      </c>
    </row>
    <row r="10" spans="1:3" x14ac:dyDescent="0.25">
      <c r="A10" s="69">
        <v>4</v>
      </c>
      <c r="B10" s="78" t="s">
        <v>613</v>
      </c>
      <c r="C10" s="99" t="s">
        <v>658</v>
      </c>
    </row>
    <row r="11" spans="1:3" x14ac:dyDescent="0.25">
      <c r="B11" s="79" t="s">
        <v>469</v>
      </c>
    </row>
    <row r="12" spans="1:3" x14ac:dyDescent="0.25">
      <c r="A12" s="69">
        <v>5</v>
      </c>
      <c r="B12" s="138" t="s">
        <v>460</v>
      </c>
      <c r="C12" s="26" t="s">
        <v>467</v>
      </c>
    </row>
    <row r="13" spans="1:3" x14ac:dyDescent="0.25">
      <c r="A13" s="69">
        <v>6</v>
      </c>
      <c r="B13" s="138" t="s">
        <v>461</v>
      </c>
      <c r="C13" s="26" t="s">
        <v>467</v>
      </c>
    </row>
    <row r="14" spans="1:3" x14ac:dyDescent="0.25">
      <c r="A14" s="69">
        <v>7</v>
      </c>
      <c r="B14" s="138" t="s">
        <v>462</v>
      </c>
      <c r="C14" s="70" t="s">
        <v>468</v>
      </c>
    </row>
    <row r="15" spans="1:3" x14ac:dyDescent="0.25">
      <c r="A15" s="69">
        <v>8</v>
      </c>
      <c r="B15" s="138" t="s">
        <v>463</v>
      </c>
      <c r="C15" s="70" t="s">
        <v>468</v>
      </c>
    </row>
    <row r="16" spans="1:3" x14ac:dyDescent="0.25">
      <c r="A16" s="69">
        <v>9</v>
      </c>
      <c r="B16" s="138" t="s">
        <v>644</v>
      </c>
      <c r="C16" s="99" t="s">
        <v>619</v>
      </c>
    </row>
    <row r="17" spans="1:3" x14ac:dyDescent="0.25">
      <c r="A17" s="69">
        <v>10</v>
      </c>
      <c r="B17" s="138" t="s">
        <v>645</v>
      </c>
      <c r="C17" s="99" t="s">
        <v>646</v>
      </c>
    </row>
    <row r="18" spans="1:3" x14ac:dyDescent="0.25">
      <c r="A18" s="69">
        <v>11</v>
      </c>
      <c r="B18" s="138" t="s">
        <v>464</v>
      </c>
      <c r="C18" s="70" t="s">
        <v>468</v>
      </c>
    </row>
    <row r="19" spans="1:3" x14ac:dyDescent="0.25">
      <c r="A19" s="69">
        <v>12</v>
      </c>
      <c r="B19" s="138" t="s">
        <v>620</v>
      </c>
      <c r="C19" s="99" t="s">
        <v>629</v>
      </c>
    </row>
    <row r="20" spans="1:3" x14ac:dyDescent="0.25">
      <c r="A20" s="106">
        <v>13</v>
      </c>
      <c r="B20" s="138" t="s">
        <v>622</v>
      </c>
      <c r="C20" s="99" t="s">
        <v>629</v>
      </c>
    </row>
    <row r="21" spans="1:3" x14ac:dyDescent="0.25">
      <c r="A21" s="106">
        <v>14</v>
      </c>
      <c r="B21" s="138" t="s">
        <v>623</v>
      </c>
      <c r="C21" s="99" t="s">
        <v>629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39997558519241921"/>
  </sheetPr>
  <dimension ref="A1:A8"/>
  <sheetViews>
    <sheetView workbookViewId="0"/>
  </sheetViews>
  <sheetFormatPr defaultColWidth="8.7109375" defaultRowHeight="15" x14ac:dyDescent="0.25"/>
  <sheetData>
    <row r="1" spans="1:1" x14ac:dyDescent="0.25">
      <c r="A1" t="s">
        <v>122</v>
      </c>
    </row>
    <row r="2" spans="1:1" x14ac:dyDescent="0.25">
      <c r="A2" t="s">
        <v>123</v>
      </c>
    </row>
    <row r="3" spans="1:1" x14ac:dyDescent="0.25">
      <c r="A3" t="s">
        <v>0</v>
      </c>
    </row>
    <row r="4" spans="1:1" x14ac:dyDescent="0.25">
      <c r="A4" t="s">
        <v>124</v>
      </c>
    </row>
    <row r="5" spans="1:1" x14ac:dyDescent="0.25">
      <c r="A5" t="s">
        <v>125</v>
      </c>
    </row>
    <row r="6" spans="1:1" x14ac:dyDescent="0.25">
      <c r="A6" t="s">
        <v>126</v>
      </c>
    </row>
    <row r="7" spans="1:1" x14ac:dyDescent="0.25">
      <c r="A7" t="s">
        <v>127</v>
      </c>
    </row>
    <row r="8" spans="1:1" x14ac:dyDescent="0.25">
      <c r="A8" t="s">
        <v>291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sheetPr>
  <dimension ref="A1:D22"/>
  <sheetViews>
    <sheetView workbookViewId="0">
      <selection activeCell="C21" sqref="C21"/>
    </sheetView>
  </sheetViews>
  <sheetFormatPr defaultColWidth="8.7109375" defaultRowHeight="15" x14ac:dyDescent="0.25"/>
  <cols>
    <col min="1" max="1" width="22.28515625" bestFit="1" customWidth="1"/>
    <col min="2" max="2" width="15.28515625" style="103" bestFit="1" customWidth="1"/>
    <col min="3" max="3" width="13.42578125" bestFit="1" customWidth="1"/>
    <col min="4" max="4" width="19" bestFit="1" customWidth="1"/>
    <col min="5" max="5" width="12" bestFit="1" customWidth="1"/>
    <col min="9" max="9" width="11" bestFit="1" customWidth="1"/>
  </cols>
  <sheetData>
    <row r="1" spans="1:4" x14ac:dyDescent="0.25">
      <c r="A1" t="s">
        <v>277</v>
      </c>
      <c r="B1" s="103" t="s">
        <v>278</v>
      </c>
      <c r="C1" t="s">
        <v>142</v>
      </c>
    </row>
    <row r="2" spans="1:4" x14ac:dyDescent="0.25">
      <c r="A2" t="s">
        <v>0</v>
      </c>
      <c r="B2" s="100">
        <v>10616000000</v>
      </c>
      <c r="C2" s="24" t="s">
        <v>143</v>
      </c>
      <c r="D2" s="132"/>
    </row>
    <row r="3" spans="1:4" x14ac:dyDescent="0.25">
      <c r="A3" t="s">
        <v>616</v>
      </c>
      <c r="B3" s="100">
        <v>1485800000</v>
      </c>
      <c r="C3" s="24" t="s">
        <v>143</v>
      </c>
      <c r="D3" s="104"/>
    </row>
    <row r="4" spans="1:4" x14ac:dyDescent="0.25">
      <c r="A4" t="s">
        <v>292</v>
      </c>
      <c r="B4" s="100">
        <v>4567300000</v>
      </c>
      <c r="C4" s="24" t="s">
        <v>143</v>
      </c>
      <c r="D4" s="104"/>
    </row>
    <row r="5" spans="1:4" x14ac:dyDescent="0.25">
      <c r="A5" t="s">
        <v>1</v>
      </c>
      <c r="B5" s="100">
        <v>1200600000</v>
      </c>
      <c r="C5" s="24" t="s">
        <v>143</v>
      </c>
    </row>
    <row r="6" spans="1:4" x14ac:dyDescent="0.25">
      <c r="A6" t="s">
        <v>279</v>
      </c>
      <c r="B6" s="100">
        <v>262399999.99999997</v>
      </c>
      <c r="C6" s="24" t="s">
        <v>143</v>
      </c>
    </row>
    <row r="7" spans="1:4" x14ac:dyDescent="0.25">
      <c r="A7" t="s">
        <v>280</v>
      </c>
      <c r="B7" s="100">
        <v>164400000</v>
      </c>
      <c r="C7" s="24" t="s">
        <v>143</v>
      </c>
    </row>
    <row r="8" spans="1:4" x14ac:dyDescent="0.25">
      <c r="A8" t="s">
        <v>281</v>
      </c>
      <c r="B8" s="100">
        <v>232400000</v>
      </c>
      <c r="C8" s="24" t="s">
        <v>143</v>
      </c>
    </row>
    <row r="9" spans="1:4" x14ac:dyDescent="0.25">
      <c r="A9" t="s">
        <v>293</v>
      </c>
      <c r="B9" s="100">
        <v>324200000</v>
      </c>
      <c r="C9" s="24" t="s">
        <v>143</v>
      </c>
    </row>
    <row r="10" spans="1:4" x14ac:dyDescent="0.25">
      <c r="A10" t="s">
        <v>282</v>
      </c>
      <c r="B10" s="100">
        <v>317400000</v>
      </c>
      <c r="C10" s="24" t="s">
        <v>143</v>
      </c>
    </row>
    <row r="11" spans="1:4" x14ac:dyDescent="0.25">
      <c r="A11" t="s">
        <v>283</v>
      </c>
      <c r="B11" s="100">
        <v>1140600000.0000002</v>
      </c>
      <c r="C11" s="24" t="s">
        <v>143</v>
      </c>
    </row>
    <row r="12" spans="1:4" x14ac:dyDescent="0.25">
      <c r="A12" t="s">
        <v>608</v>
      </c>
      <c r="B12" s="100">
        <v>0</v>
      </c>
      <c r="C12" s="24" t="s">
        <v>143</v>
      </c>
    </row>
    <row r="13" spans="1:4" x14ac:dyDescent="0.25">
      <c r="A13" t="s">
        <v>608</v>
      </c>
      <c r="B13" s="100">
        <v>0</v>
      </c>
      <c r="C13" s="24" t="s">
        <v>144</v>
      </c>
    </row>
    <row r="14" spans="1:4" x14ac:dyDescent="0.25">
      <c r="A14" t="s">
        <v>290</v>
      </c>
      <c r="B14" s="100">
        <v>480300000</v>
      </c>
      <c r="C14" s="24" t="s">
        <v>144</v>
      </c>
    </row>
    <row r="15" spans="1:4" x14ac:dyDescent="0.25">
      <c r="A15" t="s">
        <v>289</v>
      </c>
      <c r="B15" s="100">
        <v>270400000</v>
      </c>
      <c r="C15" s="24" t="s">
        <v>144</v>
      </c>
    </row>
    <row r="16" spans="1:4" x14ac:dyDescent="0.25">
      <c r="A16" t="s">
        <v>288</v>
      </c>
      <c r="B16" s="100">
        <v>689300000</v>
      </c>
      <c r="C16" s="24" t="s">
        <v>144</v>
      </c>
    </row>
    <row r="17" spans="1:3" x14ac:dyDescent="0.25">
      <c r="A17" t="s">
        <v>168</v>
      </c>
      <c r="B17" s="100">
        <v>120900000</v>
      </c>
      <c r="C17" s="24" t="s">
        <v>144</v>
      </c>
    </row>
    <row r="18" spans="1:3" x14ac:dyDescent="0.25">
      <c r="A18" t="s">
        <v>609</v>
      </c>
      <c r="B18" s="100">
        <v>286700000</v>
      </c>
      <c r="C18" s="24" t="s">
        <v>144</v>
      </c>
    </row>
    <row r="19" spans="1:3" x14ac:dyDescent="0.25">
      <c r="A19" t="s">
        <v>610</v>
      </c>
      <c r="B19" s="100">
        <v>140800000</v>
      </c>
      <c r="C19" s="24" t="s">
        <v>144</v>
      </c>
    </row>
    <row r="20" spans="1:3" x14ac:dyDescent="0.25">
      <c r="B20" s="100"/>
    </row>
    <row r="22" spans="1:3" x14ac:dyDescent="0.25">
      <c r="B22" s="13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39997558519241921"/>
  </sheetPr>
  <dimension ref="A1:O299"/>
  <sheetViews>
    <sheetView workbookViewId="0">
      <selection activeCell="C178" sqref="C178"/>
    </sheetView>
  </sheetViews>
  <sheetFormatPr defaultColWidth="8.7109375" defaultRowHeight="15" x14ac:dyDescent="0.25"/>
  <cols>
    <col min="1" max="1" width="32.7109375" customWidth="1"/>
    <col min="2" max="2" width="12.7109375" bestFit="1" customWidth="1"/>
    <col min="3" max="3" width="16.7109375" bestFit="1" customWidth="1"/>
    <col min="4" max="4" width="12.140625" customWidth="1"/>
    <col min="5" max="5" width="16.42578125" bestFit="1" customWidth="1"/>
    <col min="11" max="11" width="14.140625" customWidth="1"/>
    <col min="12" max="12" width="11.140625" customWidth="1"/>
  </cols>
  <sheetData>
    <row r="1" spans="1:13" x14ac:dyDescent="0.25">
      <c r="A1" t="s">
        <v>109</v>
      </c>
      <c r="B1" t="s">
        <v>128</v>
      </c>
      <c r="C1" t="s">
        <v>129</v>
      </c>
      <c r="D1" t="s">
        <v>133</v>
      </c>
      <c r="E1" t="s">
        <v>108</v>
      </c>
      <c r="F1" t="s">
        <v>73</v>
      </c>
      <c r="G1" t="s">
        <v>142</v>
      </c>
      <c r="H1" t="s">
        <v>135</v>
      </c>
      <c r="I1" t="s">
        <v>145</v>
      </c>
      <c r="J1" t="s">
        <v>152</v>
      </c>
      <c r="K1" t="s">
        <v>167</v>
      </c>
      <c r="L1" t="s">
        <v>284</v>
      </c>
    </row>
    <row r="2" spans="1:13" x14ac:dyDescent="0.25">
      <c r="A2" t="s">
        <v>110</v>
      </c>
      <c r="B2" s="14">
        <f ca="1">E2</f>
        <v>610049149.96756721</v>
      </c>
      <c r="C2" s="103" t="s">
        <v>108</v>
      </c>
      <c r="D2" s="14"/>
      <c r="E2" s="14">
        <f ca="1">'PIT - Total'!O24</f>
        <v>610049149.96756721</v>
      </c>
      <c r="F2" s="103">
        <v>0.03</v>
      </c>
      <c r="G2" t="s">
        <v>143</v>
      </c>
      <c r="H2" t="s">
        <v>136</v>
      </c>
      <c r="L2" t="s">
        <v>0</v>
      </c>
      <c r="M2">
        <f t="shared" ref="M2:M12" si="0">COUNTIF(A:A, A2)</f>
        <v>2</v>
      </c>
    </row>
    <row r="3" spans="1:13" x14ac:dyDescent="0.25">
      <c r="A3" t="s">
        <v>111</v>
      </c>
      <c r="B3" s="14">
        <f t="shared" ref="B3:B8" ca="1" si="1">E3</f>
        <v>3652273549.2163482</v>
      </c>
      <c r="C3" s="103" t="s">
        <v>108</v>
      </c>
      <c r="D3" s="14"/>
      <c r="E3" s="14">
        <f ca="1">'PIT - Total'!P24</f>
        <v>3652273549.2163482</v>
      </c>
      <c r="F3" s="103">
        <v>0.05</v>
      </c>
      <c r="G3" t="s">
        <v>143</v>
      </c>
      <c r="H3" t="s">
        <v>136</v>
      </c>
      <c r="L3" t="s">
        <v>0</v>
      </c>
      <c r="M3">
        <f t="shared" si="0"/>
        <v>2</v>
      </c>
    </row>
    <row r="4" spans="1:13" x14ac:dyDescent="0.25">
      <c r="A4" t="s">
        <v>113</v>
      </c>
      <c r="B4" s="14">
        <f t="shared" ca="1" si="1"/>
        <v>2150034195.0977359</v>
      </c>
      <c r="C4" s="103" t="s">
        <v>108</v>
      </c>
      <c r="D4" s="14"/>
      <c r="E4" s="14">
        <f ca="1">'PIT - Total'!Q24</f>
        <v>2150034195.0977359</v>
      </c>
      <c r="F4" s="103">
        <v>5.5E-2</v>
      </c>
      <c r="G4" t="s">
        <v>143</v>
      </c>
      <c r="H4" t="s">
        <v>136</v>
      </c>
      <c r="L4" t="s">
        <v>0</v>
      </c>
      <c r="M4">
        <f t="shared" si="0"/>
        <v>2</v>
      </c>
    </row>
    <row r="5" spans="1:13" x14ac:dyDescent="0.25">
      <c r="A5" t="s">
        <v>112</v>
      </c>
      <c r="B5" s="14">
        <f t="shared" ca="1" si="1"/>
        <v>1410314152.1827593</v>
      </c>
      <c r="C5" s="103" t="s">
        <v>108</v>
      </c>
      <c r="D5" s="14"/>
      <c r="E5" s="14">
        <f ca="1">'PIT - Total'!R24</f>
        <v>1410314152.1827593</v>
      </c>
      <c r="F5" s="103">
        <v>0.06</v>
      </c>
      <c r="G5" t="s">
        <v>143</v>
      </c>
      <c r="H5" t="s">
        <v>136</v>
      </c>
      <c r="L5" t="s">
        <v>0</v>
      </c>
      <c r="M5">
        <f t="shared" si="0"/>
        <v>2</v>
      </c>
    </row>
    <row r="6" spans="1:13" x14ac:dyDescent="0.25">
      <c r="A6" t="s">
        <v>114</v>
      </c>
      <c r="B6" s="14">
        <f t="shared" ca="1" si="1"/>
        <v>313324266.32994235</v>
      </c>
      <c r="C6" s="103" t="s">
        <v>108</v>
      </c>
      <c r="D6" s="14"/>
      <c r="E6" s="14">
        <f ca="1">'PIT - Total'!S24</f>
        <v>313324266.32994235</v>
      </c>
      <c r="F6" s="103">
        <v>6.5000000000000002E-2</v>
      </c>
      <c r="G6" t="s">
        <v>143</v>
      </c>
      <c r="H6" t="s">
        <v>136</v>
      </c>
      <c r="L6" t="s">
        <v>0</v>
      </c>
      <c r="M6">
        <f t="shared" si="0"/>
        <v>2</v>
      </c>
    </row>
    <row r="7" spans="1:13" x14ac:dyDescent="0.25">
      <c r="A7" t="s">
        <v>115</v>
      </c>
      <c r="B7" s="14">
        <f t="shared" ca="1" si="1"/>
        <v>633777173.94017839</v>
      </c>
      <c r="C7" s="103" t="s">
        <v>108</v>
      </c>
      <c r="D7" s="14"/>
      <c r="E7" s="14">
        <f ca="1">'PIT - Total'!T24</f>
        <v>633777173.94017839</v>
      </c>
      <c r="F7" s="103">
        <v>6.9000000000000006E-2</v>
      </c>
      <c r="G7" t="s">
        <v>143</v>
      </c>
      <c r="H7" t="s">
        <v>136</v>
      </c>
      <c r="L7" t="s">
        <v>0</v>
      </c>
      <c r="M7">
        <f t="shared" si="0"/>
        <v>2</v>
      </c>
    </row>
    <row r="8" spans="1:13" x14ac:dyDescent="0.25">
      <c r="A8" t="s">
        <v>116</v>
      </c>
      <c r="B8" s="14">
        <f t="shared" ca="1" si="1"/>
        <v>1344095157.0636158</v>
      </c>
      <c r="C8" s="103" t="s">
        <v>108</v>
      </c>
      <c r="D8" s="14"/>
      <c r="E8" s="14">
        <f ca="1">'PIT - Total'!U24-'Consensus Est.'!B3</f>
        <v>1344095157.0636158</v>
      </c>
      <c r="F8" s="103">
        <v>6.9900000000000004E-2</v>
      </c>
      <c r="G8" t="s">
        <v>143</v>
      </c>
      <c r="H8" t="s">
        <v>136</v>
      </c>
      <c r="L8" t="s">
        <v>0</v>
      </c>
      <c r="M8">
        <f t="shared" si="0"/>
        <v>2</v>
      </c>
    </row>
    <row r="9" spans="1:13" x14ac:dyDescent="0.25">
      <c r="A9" t="s">
        <v>616</v>
      </c>
      <c r="B9" s="14">
        <f>'Consensus Est.'!B3</f>
        <v>1485800000</v>
      </c>
      <c r="C9" s="103" t="s">
        <v>108</v>
      </c>
      <c r="D9" s="103" t="s">
        <v>617</v>
      </c>
      <c r="E9" s="14">
        <f>B9</f>
        <v>1485800000</v>
      </c>
      <c r="F9" s="103">
        <v>6.9900000000000004E-2</v>
      </c>
      <c r="G9" t="s">
        <v>143</v>
      </c>
      <c r="H9" t="s">
        <v>136</v>
      </c>
      <c r="L9" t="s">
        <v>616</v>
      </c>
      <c r="M9">
        <f t="shared" si="0"/>
        <v>2</v>
      </c>
    </row>
    <row r="10" spans="1:13" x14ac:dyDescent="0.25">
      <c r="A10" t="s">
        <v>72</v>
      </c>
      <c r="B10" s="14">
        <f>'Other Tax Rates'!I3</f>
        <v>4458976557.4388418</v>
      </c>
      <c r="C10" s="103" t="s">
        <v>108</v>
      </c>
      <c r="D10" s="101" t="s">
        <v>295</v>
      </c>
      <c r="E10" s="14">
        <f>B10</f>
        <v>4458976557.4388418</v>
      </c>
      <c r="F10" s="103">
        <v>5.8500000000000003E-2</v>
      </c>
      <c r="G10" t="s">
        <v>143</v>
      </c>
      <c r="H10" t="s">
        <v>136</v>
      </c>
      <c r="K10" s="14">
        <f>B15</f>
        <v>689300000</v>
      </c>
      <c r="L10" t="s">
        <v>292</v>
      </c>
      <c r="M10">
        <f t="shared" si="0"/>
        <v>2</v>
      </c>
    </row>
    <row r="11" spans="1:13" x14ac:dyDescent="0.25">
      <c r="A11" s="103" t="s">
        <v>654</v>
      </c>
      <c r="B11" s="14">
        <f>'Other Tax Rates'!I4</f>
        <v>64221430.733868957</v>
      </c>
      <c r="C11" s="103" t="s">
        <v>108</v>
      </c>
      <c r="D11" s="101" t="s">
        <v>655</v>
      </c>
      <c r="E11" s="14">
        <f>B11</f>
        <v>64221430.733868957</v>
      </c>
      <c r="F11" s="103">
        <v>0.01</v>
      </c>
      <c r="G11" s="103" t="s">
        <v>143</v>
      </c>
      <c r="H11" s="103" t="s">
        <v>136</v>
      </c>
      <c r="I11" s="103"/>
      <c r="J11" s="103"/>
      <c r="K11" s="14"/>
      <c r="L11" s="103" t="s">
        <v>292</v>
      </c>
      <c r="M11" s="103">
        <f t="shared" si="0"/>
        <v>2</v>
      </c>
    </row>
    <row r="12" spans="1:13" x14ac:dyDescent="0.25">
      <c r="A12" t="s">
        <v>166</v>
      </c>
      <c r="B12" s="14">
        <f>'Other Tax Rates'!I5</f>
        <v>18694679.295114521</v>
      </c>
      <c r="C12" s="103" t="s">
        <v>108</v>
      </c>
      <c r="D12" s="101" t="s">
        <v>351</v>
      </c>
      <c r="E12" s="14">
        <f>B12</f>
        <v>18694679.295114521</v>
      </c>
      <c r="F12" s="103">
        <v>1.3999999999999999E-2</v>
      </c>
      <c r="G12" t="s">
        <v>143</v>
      </c>
      <c r="H12" t="s">
        <v>136</v>
      </c>
      <c r="L12" t="s">
        <v>292</v>
      </c>
      <c r="M12">
        <f t="shared" si="0"/>
        <v>2</v>
      </c>
    </row>
    <row r="13" spans="1:13" x14ac:dyDescent="0.25">
      <c r="A13" t="s">
        <v>168</v>
      </c>
      <c r="B13" s="14">
        <f>E13</f>
        <v>120900000</v>
      </c>
      <c r="C13" s="103" t="s">
        <v>108</v>
      </c>
      <c r="D13" s="101" t="s">
        <v>303</v>
      </c>
      <c r="E13" s="14">
        <f>'Consensus Est.'!B17</f>
        <v>120900000</v>
      </c>
      <c r="F13" s="103">
        <v>6.3500000000000001E-2</v>
      </c>
      <c r="G13" t="s">
        <v>144</v>
      </c>
      <c r="H13" t="s">
        <v>136</v>
      </c>
      <c r="L13" t="s">
        <v>168</v>
      </c>
    </row>
    <row r="14" spans="1:13" x14ac:dyDescent="0.25">
      <c r="A14" t="s">
        <v>117</v>
      </c>
      <c r="B14" s="14">
        <f>E14</f>
        <v>1200600000</v>
      </c>
      <c r="C14" s="103" t="s">
        <v>108</v>
      </c>
      <c r="D14" s="101" t="s">
        <v>294</v>
      </c>
      <c r="E14" s="14">
        <f>'Consensus Est.'!B5</f>
        <v>1200600000</v>
      </c>
      <c r="F14" s="103">
        <v>7.4999999999999997E-2</v>
      </c>
      <c r="G14" t="s">
        <v>143</v>
      </c>
      <c r="H14" t="s">
        <v>136</v>
      </c>
      <c r="L14" t="s">
        <v>1</v>
      </c>
      <c r="M14">
        <f>COUNTIF(A:A, A14)</f>
        <v>2</v>
      </c>
    </row>
    <row r="15" spans="1:13" x14ac:dyDescent="0.25">
      <c r="A15" t="s">
        <v>118</v>
      </c>
      <c r="B15" s="14">
        <f>'Consensus Est.'!B16</f>
        <v>689300000</v>
      </c>
      <c r="C15" s="103" t="s">
        <v>108</v>
      </c>
      <c r="D15" s="101" t="s">
        <v>302</v>
      </c>
      <c r="E15" s="14">
        <f>B15</f>
        <v>689300000</v>
      </c>
      <c r="F15" s="103">
        <v>5.0000000000000001E-3</v>
      </c>
      <c r="G15" t="s">
        <v>144</v>
      </c>
      <c r="H15" t="s">
        <v>136</v>
      </c>
      <c r="K15" s="8">
        <f>B10</f>
        <v>4458976557.4388418</v>
      </c>
      <c r="L15" t="s">
        <v>288</v>
      </c>
      <c r="M15">
        <f>COUNTIF(A:A, A15)</f>
        <v>2</v>
      </c>
    </row>
    <row r="16" spans="1:13" x14ac:dyDescent="0.25">
      <c r="A16" t="s">
        <v>119</v>
      </c>
      <c r="B16" s="102">
        <f>'Consensus Est.'!B15</f>
        <v>270400000</v>
      </c>
      <c r="C16" s="103" t="s">
        <v>108</v>
      </c>
      <c r="D16" s="101" t="s">
        <v>301</v>
      </c>
      <c r="E16" s="102">
        <f>B16</f>
        <v>270400000</v>
      </c>
      <c r="F16" s="103">
        <v>8.1000000000000003E-2</v>
      </c>
      <c r="G16" t="s">
        <v>144</v>
      </c>
      <c r="H16" t="s">
        <v>136</v>
      </c>
      <c r="L16" t="s">
        <v>289</v>
      </c>
      <c r="M16">
        <f>COUNTIF(A:A, A16)</f>
        <v>2</v>
      </c>
    </row>
    <row r="17" spans="1:13" x14ac:dyDescent="0.25">
      <c r="A17" t="s">
        <v>120</v>
      </c>
      <c r="B17" s="102">
        <f>E17</f>
        <v>351334790.33974397</v>
      </c>
      <c r="C17" s="103" t="s">
        <v>108</v>
      </c>
      <c r="D17" s="101" t="s">
        <v>300</v>
      </c>
      <c r="E17" s="102">
        <f>E37</f>
        <v>351334790.33974397</v>
      </c>
      <c r="F17" s="103">
        <v>0.25</v>
      </c>
      <c r="G17" t="s">
        <v>144</v>
      </c>
      <c r="H17" t="s">
        <v>136</v>
      </c>
      <c r="L17" t="s">
        <v>290</v>
      </c>
      <c r="M17">
        <f>COUNTIF(A:A, A17)</f>
        <v>2</v>
      </c>
    </row>
    <row r="18" spans="1:13" x14ac:dyDescent="0.25">
      <c r="A18" t="s">
        <v>121</v>
      </c>
      <c r="B18" s="102">
        <f>E18</f>
        <v>128965209.660256</v>
      </c>
      <c r="C18" s="103" t="s">
        <v>108</v>
      </c>
      <c r="D18" s="101" t="s">
        <v>348</v>
      </c>
      <c r="E18" s="102">
        <f>E38</f>
        <v>128965209.660256</v>
      </c>
      <c r="F18" s="103">
        <v>0.46500000000000002</v>
      </c>
      <c r="G18" t="s">
        <v>144</v>
      </c>
      <c r="H18" t="s">
        <v>136</v>
      </c>
      <c r="L18" t="s">
        <v>290</v>
      </c>
      <c r="M18">
        <f>COUNTIF(A:A, A18)</f>
        <v>2</v>
      </c>
    </row>
    <row r="19" spans="1:13" x14ac:dyDescent="0.25">
      <c r="A19" t="s">
        <v>271</v>
      </c>
      <c r="B19" s="102">
        <f>E19</f>
        <v>303102076.87320322</v>
      </c>
      <c r="C19" s="103" t="s">
        <v>108</v>
      </c>
      <c r="D19" s="101" t="s">
        <v>296</v>
      </c>
      <c r="E19" s="102">
        <f>'Other Tax Rates'!I7</f>
        <v>303102076.87320322</v>
      </c>
      <c r="F19" s="103">
        <v>4.3499999999999996</v>
      </c>
      <c r="G19" t="s">
        <v>143</v>
      </c>
      <c r="H19" t="s">
        <v>136</v>
      </c>
      <c r="L19" t="s">
        <v>293</v>
      </c>
    </row>
    <row r="20" spans="1:13" x14ac:dyDescent="0.25">
      <c r="A20" t="s">
        <v>165</v>
      </c>
      <c r="B20" s="14">
        <v>0</v>
      </c>
      <c r="C20" s="103" t="s">
        <v>130</v>
      </c>
      <c r="D20" s="103"/>
      <c r="E20" s="102">
        <v>0</v>
      </c>
      <c r="F20" s="103">
        <v>0</v>
      </c>
      <c r="G20" t="s">
        <v>144</v>
      </c>
      <c r="H20" t="s">
        <v>136</v>
      </c>
      <c r="M20">
        <f t="shared" ref="M20:M27" si="2">COUNTIF(A:A, A20)</f>
        <v>1</v>
      </c>
    </row>
    <row r="21" spans="1:13" x14ac:dyDescent="0.25">
      <c r="A21" t="s">
        <v>110</v>
      </c>
      <c r="B21" s="14">
        <v>0</v>
      </c>
      <c r="C21" s="103" t="s">
        <v>130</v>
      </c>
      <c r="D21" s="103"/>
      <c r="E21" s="14">
        <f t="shared" ref="E21:E27" ca="1" si="3">E2</f>
        <v>610049149.96756721</v>
      </c>
      <c r="F21" s="103">
        <v>0.03</v>
      </c>
      <c r="G21" t="s">
        <v>143</v>
      </c>
      <c r="H21" t="s">
        <v>136</v>
      </c>
      <c r="L21" t="s">
        <v>0</v>
      </c>
      <c r="M21">
        <f t="shared" si="2"/>
        <v>2</v>
      </c>
    </row>
    <row r="22" spans="1:13" x14ac:dyDescent="0.25">
      <c r="A22" t="s">
        <v>111</v>
      </c>
      <c r="B22" s="14">
        <v>0</v>
      </c>
      <c r="C22" s="103" t="s">
        <v>130</v>
      </c>
      <c r="D22" s="103"/>
      <c r="E22" s="14">
        <f t="shared" ca="1" si="3"/>
        <v>3652273549.2163482</v>
      </c>
      <c r="F22" s="103">
        <v>0.05</v>
      </c>
      <c r="G22" t="s">
        <v>143</v>
      </c>
      <c r="H22" t="s">
        <v>136</v>
      </c>
      <c r="L22" t="s">
        <v>0</v>
      </c>
      <c r="M22">
        <f t="shared" si="2"/>
        <v>2</v>
      </c>
    </row>
    <row r="23" spans="1:13" x14ac:dyDescent="0.25">
      <c r="A23" t="s">
        <v>113</v>
      </c>
      <c r="B23" s="14">
        <v>0</v>
      </c>
      <c r="C23" s="103" t="s">
        <v>130</v>
      </c>
      <c r="D23" s="103"/>
      <c r="E23" s="14">
        <f t="shared" ca="1" si="3"/>
        <v>2150034195.0977359</v>
      </c>
      <c r="F23" s="103">
        <v>5.5E-2</v>
      </c>
      <c r="G23" t="s">
        <v>143</v>
      </c>
      <c r="H23" t="s">
        <v>136</v>
      </c>
      <c r="L23" t="s">
        <v>0</v>
      </c>
      <c r="M23">
        <f t="shared" si="2"/>
        <v>2</v>
      </c>
    </row>
    <row r="24" spans="1:13" x14ac:dyDescent="0.25">
      <c r="A24" t="s">
        <v>112</v>
      </c>
      <c r="B24" s="14">
        <v>0</v>
      </c>
      <c r="C24" s="103" t="s">
        <v>130</v>
      </c>
      <c r="D24" s="103"/>
      <c r="E24" s="14">
        <f t="shared" ca="1" si="3"/>
        <v>1410314152.1827593</v>
      </c>
      <c r="F24" s="103">
        <v>0.06</v>
      </c>
      <c r="G24" t="s">
        <v>143</v>
      </c>
      <c r="H24" t="s">
        <v>136</v>
      </c>
      <c r="L24" t="s">
        <v>0</v>
      </c>
      <c r="M24">
        <f t="shared" si="2"/>
        <v>2</v>
      </c>
    </row>
    <row r="25" spans="1:13" x14ac:dyDescent="0.25">
      <c r="A25" t="s">
        <v>114</v>
      </c>
      <c r="B25" s="14">
        <v>0</v>
      </c>
      <c r="C25" s="103" t="s">
        <v>130</v>
      </c>
      <c r="D25" s="103"/>
      <c r="E25" s="14">
        <f t="shared" ca="1" si="3"/>
        <v>313324266.32994235</v>
      </c>
      <c r="F25" s="103">
        <v>6.5000000000000002E-2</v>
      </c>
      <c r="G25" t="s">
        <v>143</v>
      </c>
      <c r="H25" t="s">
        <v>136</v>
      </c>
      <c r="L25" t="s">
        <v>0</v>
      </c>
      <c r="M25">
        <f t="shared" si="2"/>
        <v>2</v>
      </c>
    </row>
    <row r="26" spans="1:13" x14ac:dyDescent="0.25">
      <c r="A26" t="s">
        <v>115</v>
      </c>
      <c r="B26" s="14">
        <v>0</v>
      </c>
      <c r="C26" s="103" t="s">
        <v>130</v>
      </c>
      <c r="D26" s="103"/>
      <c r="E26" s="14">
        <f t="shared" ca="1" si="3"/>
        <v>633777173.94017839</v>
      </c>
      <c r="F26" s="103">
        <v>6.9000000000000006E-2</v>
      </c>
      <c r="G26" t="s">
        <v>143</v>
      </c>
      <c r="H26" t="s">
        <v>136</v>
      </c>
      <c r="L26" t="s">
        <v>0</v>
      </c>
      <c r="M26">
        <f t="shared" si="2"/>
        <v>2</v>
      </c>
    </row>
    <row r="27" spans="1:13" x14ac:dyDescent="0.25">
      <c r="A27" t="s">
        <v>116</v>
      </c>
      <c r="B27" s="14">
        <v>0</v>
      </c>
      <c r="C27" s="103" t="s">
        <v>130</v>
      </c>
      <c r="D27" s="103"/>
      <c r="E27" s="14">
        <f t="shared" ca="1" si="3"/>
        <v>1344095157.0636158</v>
      </c>
      <c r="F27" s="103">
        <v>6.9900000000000004E-2</v>
      </c>
      <c r="G27" t="s">
        <v>143</v>
      </c>
      <c r="H27" t="s">
        <v>136</v>
      </c>
      <c r="L27" t="s">
        <v>0</v>
      </c>
      <c r="M27">
        <f t="shared" si="2"/>
        <v>2</v>
      </c>
    </row>
    <row r="28" spans="1:13" x14ac:dyDescent="0.25">
      <c r="A28" t="s">
        <v>285</v>
      </c>
      <c r="B28" s="14">
        <v>0</v>
      </c>
      <c r="C28" s="103" t="s">
        <v>130</v>
      </c>
      <c r="D28" s="101" t="s">
        <v>350</v>
      </c>
      <c r="E28" s="100">
        <f ca="1">'PIT - Total'!Z24</f>
        <v>502132356.20185375</v>
      </c>
      <c r="F28" s="103"/>
      <c r="G28" t="s">
        <v>143</v>
      </c>
      <c r="H28" t="s">
        <v>136</v>
      </c>
      <c r="L28" t="s">
        <v>0</v>
      </c>
    </row>
    <row r="29" spans="1:13" x14ac:dyDescent="0.25">
      <c r="A29" t="s">
        <v>616</v>
      </c>
      <c r="B29" s="14">
        <v>0</v>
      </c>
      <c r="C29" s="103" t="s">
        <v>130</v>
      </c>
      <c r="D29" s="103" t="s">
        <v>617</v>
      </c>
      <c r="E29" s="14">
        <f>E9</f>
        <v>1485800000</v>
      </c>
      <c r="F29" s="103">
        <v>6.9900000000000004E-2</v>
      </c>
      <c r="G29" t="s">
        <v>143</v>
      </c>
      <c r="H29" t="s">
        <v>136</v>
      </c>
      <c r="L29" t="s">
        <v>616</v>
      </c>
    </row>
    <row r="30" spans="1:13" x14ac:dyDescent="0.25">
      <c r="A30" t="s">
        <v>72</v>
      </c>
      <c r="B30" s="14">
        <v>0</v>
      </c>
      <c r="C30" s="103" t="s">
        <v>130</v>
      </c>
      <c r="D30" s="101" t="s">
        <v>295</v>
      </c>
      <c r="E30" s="14">
        <f>E10</f>
        <v>4458976557.4388418</v>
      </c>
      <c r="F30" s="103">
        <v>5.8500000000000003E-2</v>
      </c>
      <c r="G30" t="s">
        <v>143</v>
      </c>
      <c r="H30" t="s">
        <v>136</v>
      </c>
      <c r="K30" s="14">
        <f>K10</f>
        <v>689300000</v>
      </c>
      <c r="L30" t="s">
        <v>292</v>
      </c>
      <c r="M30">
        <f>COUNTIF(A:A, A30)</f>
        <v>2</v>
      </c>
    </row>
    <row r="31" spans="1:13" x14ac:dyDescent="0.25">
      <c r="A31" s="103" t="s">
        <v>654</v>
      </c>
      <c r="B31" s="14">
        <v>0</v>
      </c>
      <c r="C31" s="103" t="s">
        <v>130</v>
      </c>
      <c r="D31" s="101" t="s">
        <v>655</v>
      </c>
      <c r="E31" s="14">
        <f>'Other Tax Rates'!I4</f>
        <v>64221430.733868957</v>
      </c>
      <c r="F31" s="103">
        <v>0.01</v>
      </c>
      <c r="G31" s="103" t="s">
        <v>143</v>
      </c>
      <c r="H31" s="103" t="s">
        <v>136</v>
      </c>
      <c r="I31" s="103"/>
      <c r="J31" s="103"/>
      <c r="K31" s="14"/>
      <c r="L31" s="103" t="s">
        <v>292</v>
      </c>
      <c r="M31" s="103"/>
    </row>
    <row r="32" spans="1:13" x14ac:dyDescent="0.25">
      <c r="A32" t="s">
        <v>166</v>
      </c>
      <c r="B32" s="14">
        <v>0</v>
      </c>
      <c r="C32" s="103" t="s">
        <v>130</v>
      </c>
      <c r="D32" s="101" t="s">
        <v>351</v>
      </c>
      <c r="E32" s="14">
        <f>'Other Tax Rates'!I5</f>
        <v>18694679.295114521</v>
      </c>
      <c r="F32" s="103">
        <v>1.3999999999999999E-2</v>
      </c>
      <c r="G32" t="s">
        <v>143</v>
      </c>
      <c r="H32" t="s">
        <v>136</v>
      </c>
      <c r="L32" t="s">
        <v>292</v>
      </c>
    </row>
    <row r="33" spans="1:13" x14ac:dyDescent="0.25">
      <c r="A33" t="s">
        <v>168</v>
      </c>
      <c r="B33" s="14">
        <v>0</v>
      </c>
      <c r="C33" s="103" t="s">
        <v>130</v>
      </c>
      <c r="D33" s="101" t="s">
        <v>303</v>
      </c>
      <c r="E33" s="14">
        <f>'Consensus Est.'!B17</f>
        <v>120900000</v>
      </c>
      <c r="F33" s="103">
        <v>6.3500000000000001E-2</v>
      </c>
      <c r="G33" t="s">
        <v>144</v>
      </c>
      <c r="H33" t="s">
        <v>136</v>
      </c>
      <c r="L33" t="s">
        <v>168</v>
      </c>
    </row>
    <row r="34" spans="1:13" x14ac:dyDescent="0.25">
      <c r="A34" t="s">
        <v>117</v>
      </c>
      <c r="B34" s="14">
        <v>0</v>
      </c>
      <c r="C34" s="103" t="s">
        <v>130</v>
      </c>
      <c r="D34" s="101" t="s">
        <v>294</v>
      </c>
      <c r="E34" s="14">
        <f>E14</f>
        <v>1200600000</v>
      </c>
      <c r="F34" s="103">
        <v>7.4999999999999997E-2</v>
      </c>
      <c r="G34" t="s">
        <v>143</v>
      </c>
      <c r="H34" t="s">
        <v>136</v>
      </c>
      <c r="L34" t="s">
        <v>1</v>
      </c>
      <c r="M34">
        <f t="shared" ref="M34:M42" si="4">COUNTIF(A:A, A34)</f>
        <v>2</v>
      </c>
    </row>
    <row r="35" spans="1:13" x14ac:dyDescent="0.25">
      <c r="A35" t="s">
        <v>118</v>
      </c>
      <c r="B35" s="14">
        <v>0</v>
      </c>
      <c r="C35" s="103" t="s">
        <v>130</v>
      </c>
      <c r="D35" s="101" t="s">
        <v>302</v>
      </c>
      <c r="E35" s="14">
        <f>E15</f>
        <v>689300000</v>
      </c>
      <c r="F35" s="103">
        <v>5.0000000000000001E-3</v>
      </c>
      <c r="G35" t="s">
        <v>144</v>
      </c>
      <c r="H35" t="s">
        <v>136</v>
      </c>
      <c r="K35" s="8">
        <f>K15</f>
        <v>4458976557.4388418</v>
      </c>
      <c r="L35" t="s">
        <v>288</v>
      </c>
      <c r="M35">
        <f t="shared" si="4"/>
        <v>2</v>
      </c>
    </row>
    <row r="36" spans="1:13" x14ac:dyDescent="0.25">
      <c r="A36" t="s">
        <v>119</v>
      </c>
      <c r="B36" s="14">
        <v>0</v>
      </c>
      <c r="C36" s="103" t="s">
        <v>130</v>
      </c>
      <c r="D36" s="101" t="s">
        <v>301</v>
      </c>
      <c r="E36" s="102">
        <f>E16</f>
        <v>270400000</v>
      </c>
      <c r="F36" s="103">
        <v>8.1000000000000003E-2</v>
      </c>
      <c r="G36" t="s">
        <v>144</v>
      </c>
      <c r="H36" t="s">
        <v>136</v>
      </c>
      <c r="L36" t="s">
        <v>289</v>
      </c>
      <c r="M36">
        <f t="shared" si="4"/>
        <v>2</v>
      </c>
    </row>
    <row r="37" spans="1:13" x14ac:dyDescent="0.25">
      <c r="A37" t="s">
        <v>120</v>
      </c>
      <c r="B37" s="14">
        <v>0</v>
      </c>
      <c r="C37" s="103" t="s">
        <v>130</v>
      </c>
      <c r="D37" s="101" t="s">
        <v>300</v>
      </c>
      <c r="E37" s="102">
        <f>'Other Tax Rates'!I9</f>
        <v>351334790.33974397</v>
      </c>
      <c r="F37" s="103">
        <v>0.25</v>
      </c>
      <c r="G37" t="s">
        <v>144</v>
      </c>
      <c r="H37" t="s">
        <v>136</v>
      </c>
      <c r="L37" t="s">
        <v>290</v>
      </c>
      <c r="M37">
        <f t="shared" si="4"/>
        <v>2</v>
      </c>
    </row>
    <row r="38" spans="1:13" x14ac:dyDescent="0.25">
      <c r="A38" t="s">
        <v>121</v>
      </c>
      <c r="B38" s="14">
        <v>0</v>
      </c>
      <c r="C38" s="103" t="s">
        <v>130</v>
      </c>
      <c r="D38" s="101" t="s">
        <v>348</v>
      </c>
      <c r="E38" s="102">
        <f>'Other Tax Rates'!I10</f>
        <v>128965209.660256</v>
      </c>
      <c r="F38" s="103">
        <v>0.46500000000000002</v>
      </c>
      <c r="G38" t="s">
        <v>144</v>
      </c>
      <c r="H38" t="s">
        <v>136</v>
      </c>
      <c r="L38" t="s">
        <v>290</v>
      </c>
      <c r="M38">
        <f t="shared" si="4"/>
        <v>2</v>
      </c>
    </row>
    <row r="39" spans="1:13" x14ac:dyDescent="0.25">
      <c r="A39" t="s">
        <v>272</v>
      </c>
      <c r="B39" s="14">
        <v>0</v>
      </c>
      <c r="C39" s="103" t="s">
        <v>130</v>
      </c>
      <c r="D39" s="101" t="s">
        <v>273</v>
      </c>
      <c r="E39" s="102">
        <f>'Consensus Est.'!B7</f>
        <v>164400000</v>
      </c>
      <c r="F39" s="103"/>
      <c r="G39" t="s">
        <v>143</v>
      </c>
      <c r="H39" t="s">
        <v>136</v>
      </c>
      <c r="L39" t="s">
        <v>280</v>
      </c>
      <c r="M39">
        <f t="shared" si="4"/>
        <v>1</v>
      </c>
    </row>
    <row r="40" spans="1:13" x14ac:dyDescent="0.25">
      <c r="A40" t="s">
        <v>274</v>
      </c>
      <c r="B40" s="14">
        <v>0</v>
      </c>
      <c r="C40" s="103" t="s">
        <v>130</v>
      </c>
      <c r="D40" s="101" t="s">
        <v>297</v>
      </c>
      <c r="E40" s="102">
        <f>'Consensus Est.'!B8</f>
        <v>232400000</v>
      </c>
      <c r="F40" s="103"/>
      <c r="G40" t="s">
        <v>143</v>
      </c>
      <c r="H40" t="s">
        <v>136</v>
      </c>
      <c r="L40" t="s">
        <v>281</v>
      </c>
      <c r="M40">
        <f t="shared" si="4"/>
        <v>1</v>
      </c>
    </row>
    <row r="41" spans="1:13" x14ac:dyDescent="0.25">
      <c r="A41" t="s">
        <v>275</v>
      </c>
      <c r="B41" s="14">
        <v>0</v>
      </c>
      <c r="C41" s="103" t="s">
        <v>130</v>
      </c>
      <c r="D41" s="101" t="s">
        <v>287</v>
      </c>
      <c r="E41" s="102">
        <f>'Consensus Est.'!B10</f>
        <v>317400000</v>
      </c>
      <c r="F41" s="103"/>
      <c r="G41" t="s">
        <v>143</v>
      </c>
      <c r="H41" t="s">
        <v>136</v>
      </c>
      <c r="L41" t="s">
        <v>282</v>
      </c>
      <c r="M41">
        <f t="shared" si="4"/>
        <v>1</v>
      </c>
    </row>
    <row r="42" spans="1:13" x14ac:dyDescent="0.25">
      <c r="A42" t="s">
        <v>276</v>
      </c>
      <c r="B42" s="14">
        <v>0</v>
      </c>
      <c r="C42" s="103" t="s">
        <v>130</v>
      </c>
      <c r="D42" s="101" t="s">
        <v>298</v>
      </c>
      <c r="E42" s="102">
        <f>'Consensus Est.'!B6</f>
        <v>262399999.99999997</v>
      </c>
      <c r="F42" s="103"/>
      <c r="G42" t="s">
        <v>143</v>
      </c>
      <c r="H42" t="s">
        <v>136</v>
      </c>
      <c r="L42" t="s">
        <v>279</v>
      </c>
      <c r="M42">
        <f t="shared" si="4"/>
        <v>1</v>
      </c>
    </row>
    <row r="43" spans="1:13" x14ac:dyDescent="0.25">
      <c r="A43" t="s">
        <v>164</v>
      </c>
      <c r="B43" s="102">
        <v>0</v>
      </c>
      <c r="C43" s="103" t="s">
        <v>130</v>
      </c>
      <c r="D43" s="103"/>
      <c r="E43" s="102">
        <v>0</v>
      </c>
      <c r="F43" s="103"/>
      <c r="G43" t="s">
        <v>143</v>
      </c>
      <c r="H43" t="s">
        <v>165</v>
      </c>
    </row>
    <row r="44" spans="1:13" x14ac:dyDescent="0.25">
      <c r="A44" t="s">
        <v>164</v>
      </c>
      <c r="B44" s="102">
        <v>0</v>
      </c>
      <c r="C44" s="103" t="s">
        <v>130</v>
      </c>
      <c r="D44" s="103"/>
      <c r="E44" s="102">
        <v>0</v>
      </c>
      <c r="F44" s="103"/>
      <c r="G44" t="s">
        <v>144</v>
      </c>
      <c r="H44" t="s">
        <v>165</v>
      </c>
    </row>
    <row r="45" spans="1:13" x14ac:dyDescent="0.25">
      <c r="A45" t="s">
        <v>164</v>
      </c>
      <c r="B45" s="102">
        <v>0</v>
      </c>
      <c r="C45" s="103" t="s">
        <v>130</v>
      </c>
      <c r="D45" s="103"/>
      <c r="E45" s="102">
        <v>0</v>
      </c>
      <c r="F45" s="103"/>
      <c r="G45" t="s">
        <v>143</v>
      </c>
      <c r="H45" t="s">
        <v>136</v>
      </c>
    </row>
    <row r="46" spans="1:13" x14ac:dyDescent="0.25">
      <c r="A46" t="s">
        <v>164</v>
      </c>
      <c r="B46" s="102">
        <v>0</v>
      </c>
      <c r="C46" s="103" t="s">
        <v>130</v>
      </c>
      <c r="D46" s="103"/>
      <c r="E46" s="102">
        <v>0</v>
      </c>
      <c r="F46" s="103"/>
      <c r="G46" t="s">
        <v>144</v>
      </c>
      <c r="H46" t="s">
        <v>136</v>
      </c>
    </row>
    <row r="47" spans="1:13" x14ac:dyDescent="0.25">
      <c r="A47" t="s">
        <v>271</v>
      </c>
      <c r="B47" s="102">
        <v>0</v>
      </c>
      <c r="C47" s="103" t="s">
        <v>130</v>
      </c>
      <c r="D47" s="101" t="s">
        <v>296</v>
      </c>
      <c r="E47" s="102">
        <f>'Other Tax Rates'!I7</f>
        <v>303102076.87320322</v>
      </c>
      <c r="F47" s="103">
        <v>4.3499999999999996</v>
      </c>
      <c r="G47" t="s">
        <v>143</v>
      </c>
      <c r="H47" t="s">
        <v>136</v>
      </c>
      <c r="L47" t="s">
        <v>293</v>
      </c>
    </row>
    <row r="48" spans="1:13" x14ac:dyDescent="0.25">
      <c r="A48" t="s">
        <v>286</v>
      </c>
      <c r="B48" s="102">
        <v>0</v>
      </c>
      <c r="C48" s="103" t="s">
        <v>130</v>
      </c>
      <c r="D48" s="101" t="s">
        <v>299</v>
      </c>
      <c r="E48" s="102">
        <f>'Other Tax Rates'!I8</f>
        <v>21097923.126796775</v>
      </c>
      <c r="F48" s="103"/>
      <c r="G48" t="s">
        <v>143</v>
      </c>
      <c r="H48" t="s">
        <v>136</v>
      </c>
      <c r="L48" t="s">
        <v>293</v>
      </c>
    </row>
    <row r="49" spans="1:15" x14ac:dyDescent="0.25">
      <c r="A49" t="s">
        <v>169</v>
      </c>
      <c r="B49" s="102">
        <f>INDEX('Tax Expenditures'!B:B, MATCH('Tableau - Rates'!A49, 'Tax Expenditures'!E:E, 0), 0)*1000000</f>
        <v>63000000</v>
      </c>
      <c r="C49" s="103" t="s">
        <v>134</v>
      </c>
      <c r="D49" s="103" t="s">
        <v>311</v>
      </c>
      <c r="E49" s="103"/>
      <c r="F49" s="103"/>
      <c r="G49" t="s">
        <v>143</v>
      </c>
      <c r="H49" t="s">
        <v>136</v>
      </c>
      <c r="J49" t="s">
        <v>151</v>
      </c>
      <c r="L49" t="s">
        <v>0</v>
      </c>
      <c r="M49">
        <f t="shared" ref="M49:M80" si="5">COUNTIF(A:A, A49)</f>
        <v>1</v>
      </c>
    </row>
    <row r="50" spans="1:15" x14ac:dyDescent="0.25">
      <c r="A50" t="s">
        <v>170</v>
      </c>
      <c r="B50" s="102">
        <f>INDEX('Tax Expenditures'!B:B, MATCH('Tableau - Rates'!A50, 'Tax Expenditures'!E:E, 0), 0)*1000000</f>
        <v>166800000</v>
      </c>
      <c r="C50" s="103" t="s">
        <v>134</v>
      </c>
      <c r="D50" s="103" t="s">
        <v>312</v>
      </c>
      <c r="E50" s="103"/>
      <c r="F50" s="103"/>
      <c r="G50" t="s">
        <v>143</v>
      </c>
      <c r="H50" t="s">
        <v>136</v>
      </c>
      <c r="J50" t="s">
        <v>153</v>
      </c>
      <c r="L50" t="s">
        <v>0</v>
      </c>
      <c r="M50">
        <f t="shared" si="5"/>
        <v>1</v>
      </c>
    </row>
    <row r="51" spans="1:15" x14ac:dyDescent="0.25">
      <c r="A51" t="s">
        <v>171</v>
      </c>
      <c r="B51" s="102">
        <f>INDEX('Tax Expenditures'!B:B, MATCH('Tableau - Rates'!A51, 'Tax Expenditures'!E:E, 0), 0)*1000000</f>
        <v>20000000</v>
      </c>
      <c r="C51" s="103" t="s">
        <v>134</v>
      </c>
      <c r="D51" s="103" t="s">
        <v>635</v>
      </c>
      <c r="E51" s="103"/>
      <c r="F51" s="103"/>
      <c r="G51" t="s">
        <v>143</v>
      </c>
      <c r="H51" t="s">
        <v>136</v>
      </c>
      <c r="J51" t="s">
        <v>147</v>
      </c>
      <c r="L51" t="s">
        <v>0</v>
      </c>
      <c r="M51">
        <f t="shared" si="5"/>
        <v>1</v>
      </c>
    </row>
    <row r="52" spans="1:15" x14ac:dyDescent="0.25">
      <c r="A52" t="s">
        <v>172</v>
      </c>
      <c r="B52" s="102">
        <f>INDEX('Tax Expenditures'!B:B, MATCH('Tableau - Rates'!A52, 'Tax Expenditures'!E:E, 0), 0)*1000000</f>
        <v>653400000</v>
      </c>
      <c r="C52" s="103" t="s">
        <v>134</v>
      </c>
      <c r="D52" s="103" t="s">
        <v>337</v>
      </c>
      <c r="E52" s="103"/>
      <c r="F52" s="103"/>
      <c r="G52" t="s">
        <v>143</v>
      </c>
      <c r="H52" t="s">
        <v>136</v>
      </c>
      <c r="J52" t="s">
        <v>146</v>
      </c>
      <c r="L52" t="s">
        <v>292</v>
      </c>
      <c r="M52">
        <f t="shared" si="5"/>
        <v>1</v>
      </c>
    </row>
    <row r="53" spans="1:15" x14ac:dyDescent="0.25">
      <c r="A53" t="s">
        <v>173</v>
      </c>
      <c r="B53" s="102">
        <f>INDEX('Tax Expenditures'!B:B, MATCH('Tableau - Rates'!A53, 'Tax Expenditures'!E:E, 0), 0)*1000000</f>
        <v>43100000</v>
      </c>
      <c r="C53" s="103" t="s">
        <v>134</v>
      </c>
      <c r="D53" s="103" t="s">
        <v>320</v>
      </c>
      <c r="E53" s="103"/>
      <c r="F53" s="103"/>
      <c r="G53" t="s">
        <v>143</v>
      </c>
      <c r="H53" t="s">
        <v>136</v>
      </c>
      <c r="J53" t="s">
        <v>150</v>
      </c>
      <c r="L53" t="s">
        <v>292</v>
      </c>
      <c r="M53">
        <f t="shared" si="5"/>
        <v>1</v>
      </c>
    </row>
    <row r="54" spans="1:15" x14ac:dyDescent="0.25">
      <c r="A54" t="s">
        <v>174</v>
      </c>
      <c r="B54" s="102">
        <f>INDEX('Tax Expenditures'!B:B, MATCH('Tableau - Rates'!A54, 'Tax Expenditures'!E:E, 0), 0)*1000000</f>
        <v>22700000</v>
      </c>
      <c r="C54" s="103" t="s">
        <v>134</v>
      </c>
      <c r="D54" s="103" t="s">
        <v>331</v>
      </c>
      <c r="E54" s="103"/>
      <c r="F54" s="103"/>
      <c r="G54" t="s">
        <v>143</v>
      </c>
      <c r="H54" t="s">
        <v>136</v>
      </c>
      <c r="J54" t="s">
        <v>146</v>
      </c>
      <c r="L54" t="s">
        <v>292</v>
      </c>
      <c r="M54">
        <f t="shared" si="5"/>
        <v>1</v>
      </c>
    </row>
    <row r="55" spans="1:15" x14ac:dyDescent="0.25">
      <c r="A55" t="s">
        <v>175</v>
      </c>
      <c r="B55" s="102">
        <f>INDEX('Tax Expenditures'!B:B, MATCH('Tableau - Rates'!A55, 'Tax Expenditures'!E:E, 0), 0)*1000000</f>
        <v>596900000</v>
      </c>
      <c r="C55" s="103" t="s">
        <v>134</v>
      </c>
      <c r="D55" s="103" t="s">
        <v>333</v>
      </c>
      <c r="E55" s="103"/>
      <c r="F55" s="103"/>
      <c r="G55" t="s">
        <v>143</v>
      </c>
      <c r="H55" t="s">
        <v>136</v>
      </c>
      <c r="J55" t="s">
        <v>146</v>
      </c>
      <c r="L55" t="s">
        <v>292</v>
      </c>
      <c r="M55">
        <f t="shared" si="5"/>
        <v>1</v>
      </c>
    </row>
    <row r="56" spans="1:15" x14ac:dyDescent="0.25">
      <c r="A56" t="s">
        <v>176</v>
      </c>
      <c r="B56" s="102">
        <f>INDEX('Tax Expenditures'!B:B, MATCH('Tableau - Rates'!A56, 'Tax Expenditures'!E:E, 0), 0)*1000000</f>
        <v>32299999.999999996</v>
      </c>
      <c r="C56" s="103" t="s">
        <v>134</v>
      </c>
      <c r="D56" s="103" t="s">
        <v>329</v>
      </c>
      <c r="E56" s="103"/>
      <c r="F56" s="103"/>
      <c r="G56" t="s">
        <v>143</v>
      </c>
      <c r="H56" t="s">
        <v>136</v>
      </c>
      <c r="J56" t="s">
        <v>146</v>
      </c>
      <c r="L56" t="s">
        <v>292</v>
      </c>
      <c r="M56">
        <f t="shared" si="5"/>
        <v>1</v>
      </c>
    </row>
    <row r="57" spans="1:15" x14ac:dyDescent="0.25">
      <c r="A57" t="s">
        <v>177</v>
      </c>
      <c r="B57" s="102">
        <f>INDEX('Tax Expenditures'!B:B, MATCH('Tableau - Rates'!A57, 'Tax Expenditures'!E:E, 0), 0)*1000000</f>
        <v>193500000</v>
      </c>
      <c r="C57" s="103" t="s">
        <v>134</v>
      </c>
      <c r="D57" s="103" t="s">
        <v>309</v>
      </c>
      <c r="E57" s="103"/>
      <c r="F57" s="103"/>
      <c r="G57" t="s">
        <v>143</v>
      </c>
      <c r="H57" t="s">
        <v>136</v>
      </c>
      <c r="J57" t="s">
        <v>154</v>
      </c>
      <c r="L57" t="s">
        <v>292</v>
      </c>
      <c r="M57">
        <f t="shared" si="5"/>
        <v>1</v>
      </c>
      <c r="O57" s="15"/>
    </row>
    <row r="58" spans="1:15" x14ac:dyDescent="0.25">
      <c r="A58" t="s">
        <v>178</v>
      </c>
      <c r="B58" s="102">
        <f>INDEX('Tax Expenditures'!B:B, MATCH('Tableau - Rates'!A58, 'Tax Expenditures'!E:E, 0), 0)*1000000</f>
        <v>58500000</v>
      </c>
      <c r="C58" s="103" t="s">
        <v>134</v>
      </c>
      <c r="D58" s="103" t="s">
        <v>344</v>
      </c>
      <c r="E58" s="103"/>
      <c r="F58" s="103"/>
      <c r="G58" t="s">
        <v>143</v>
      </c>
      <c r="H58" t="s">
        <v>136</v>
      </c>
      <c r="J58" t="s">
        <v>147</v>
      </c>
      <c r="L58" t="s">
        <v>292</v>
      </c>
      <c r="M58">
        <f t="shared" si="5"/>
        <v>1</v>
      </c>
      <c r="O58" s="15"/>
    </row>
    <row r="59" spans="1:15" x14ac:dyDescent="0.25">
      <c r="A59" t="s">
        <v>179</v>
      </c>
      <c r="B59" s="102">
        <f>INDEX('Tax Expenditures'!B:B, MATCH('Tableau - Rates'!A59, 'Tax Expenditures'!E:E, 0), 0)*1000000</f>
        <v>408900000</v>
      </c>
      <c r="C59" s="103" t="s">
        <v>134</v>
      </c>
      <c r="D59" s="103" t="s">
        <v>325</v>
      </c>
      <c r="E59" s="103"/>
      <c r="F59" s="103"/>
      <c r="G59" t="s">
        <v>143</v>
      </c>
      <c r="H59" t="s">
        <v>136</v>
      </c>
      <c r="J59" t="s">
        <v>148</v>
      </c>
      <c r="L59" t="s">
        <v>292</v>
      </c>
      <c r="M59">
        <f t="shared" si="5"/>
        <v>1</v>
      </c>
    </row>
    <row r="60" spans="1:15" x14ac:dyDescent="0.25">
      <c r="A60" s="103" t="s">
        <v>650</v>
      </c>
      <c r="B60" s="102">
        <f>INDEX('Tax Expenditures'!B:B, MATCH('Tableau - Rates'!A60, 'Tax Expenditures'!E:E, 0), 0)*1000000</f>
        <v>10500000</v>
      </c>
      <c r="C60" s="103" t="s">
        <v>134</v>
      </c>
      <c r="D60" s="103" t="s">
        <v>652</v>
      </c>
      <c r="E60" s="103"/>
      <c r="F60" s="103"/>
      <c r="G60" s="103" t="s">
        <v>143</v>
      </c>
      <c r="H60" s="103" t="s">
        <v>136</v>
      </c>
      <c r="I60" s="103"/>
      <c r="J60" s="103" t="s">
        <v>649</v>
      </c>
      <c r="K60" s="103"/>
      <c r="L60" s="103" t="s">
        <v>292</v>
      </c>
      <c r="M60" s="103">
        <f t="shared" si="5"/>
        <v>1</v>
      </c>
    </row>
    <row r="61" spans="1:15" x14ac:dyDescent="0.25">
      <c r="A61" t="s">
        <v>180</v>
      </c>
      <c r="B61" s="102">
        <f>INDEX('Tax Expenditures'!B:B, MATCH('Tableau - Rates'!A61, 'Tax Expenditures'!E:E, 0), 0)*1000000</f>
        <v>11700000</v>
      </c>
      <c r="C61" s="103" t="s">
        <v>134</v>
      </c>
      <c r="D61" s="103" t="s">
        <v>340</v>
      </c>
      <c r="E61" s="103"/>
      <c r="F61" s="103"/>
      <c r="G61" t="s">
        <v>143</v>
      </c>
      <c r="H61" t="s">
        <v>136</v>
      </c>
      <c r="J61" t="s">
        <v>155</v>
      </c>
      <c r="L61" t="s">
        <v>292</v>
      </c>
      <c r="M61">
        <f t="shared" si="5"/>
        <v>1</v>
      </c>
    </row>
    <row r="62" spans="1:15" x14ac:dyDescent="0.25">
      <c r="A62" t="s">
        <v>181</v>
      </c>
      <c r="B62" s="102">
        <f>INDEX('Tax Expenditures'!B:B, MATCH('Tableau - Rates'!A62, 'Tax Expenditures'!E:E, 0), 0)*1000000</f>
        <v>139700000</v>
      </c>
      <c r="C62" s="103" t="s">
        <v>134</v>
      </c>
      <c r="D62" s="103" t="s">
        <v>322</v>
      </c>
      <c r="E62" s="103"/>
      <c r="F62" s="103"/>
      <c r="G62" t="s">
        <v>143</v>
      </c>
      <c r="H62" t="s">
        <v>136</v>
      </c>
      <c r="J62" t="s">
        <v>149</v>
      </c>
      <c r="L62" t="s">
        <v>292</v>
      </c>
      <c r="M62">
        <f t="shared" si="5"/>
        <v>1</v>
      </c>
    </row>
    <row r="63" spans="1:15" x14ac:dyDescent="0.25">
      <c r="A63" s="111" t="s">
        <v>669</v>
      </c>
      <c r="B63" s="136">
        <f>INDEX('Tax Expenditures'!B:B, MATCH('Tableau - Rates'!A63, 'Tax Expenditures'!E:E, 0), 0)*1000000</f>
        <v>12300000</v>
      </c>
      <c r="C63" s="111" t="s">
        <v>134</v>
      </c>
      <c r="D63" s="111" t="s">
        <v>677</v>
      </c>
      <c r="E63" s="111"/>
      <c r="F63" s="111"/>
      <c r="G63" s="111" t="s">
        <v>143</v>
      </c>
      <c r="H63" s="111" t="s">
        <v>136</v>
      </c>
      <c r="I63" s="111"/>
      <c r="J63" s="111" t="s">
        <v>149</v>
      </c>
      <c r="K63" s="111"/>
      <c r="L63" s="111" t="s">
        <v>292</v>
      </c>
      <c r="M63" s="111">
        <f t="shared" si="5"/>
        <v>1</v>
      </c>
    </row>
    <row r="64" spans="1:15" x14ac:dyDescent="0.25">
      <c r="A64" t="s">
        <v>182</v>
      </c>
      <c r="B64" s="102">
        <f>INDEX('Tax Expenditures'!B:B, MATCH('Tableau - Rates'!A64, 'Tax Expenditures'!E:E, 0), 0)*1000000</f>
        <v>83700000</v>
      </c>
      <c r="C64" s="103" t="s">
        <v>134</v>
      </c>
      <c r="D64" s="103" t="s">
        <v>323</v>
      </c>
      <c r="E64" s="103"/>
      <c r="F64" s="103"/>
      <c r="G64" t="s">
        <v>143</v>
      </c>
      <c r="H64" t="s">
        <v>136</v>
      </c>
      <c r="J64" t="s">
        <v>147</v>
      </c>
      <c r="L64" t="s">
        <v>292</v>
      </c>
      <c r="M64">
        <f t="shared" si="5"/>
        <v>1</v>
      </c>
    </row>
    <row r="65" spans="1:13" x14ac:dyDescent="0.25">
      <c r="A65" t="s">
        <v>639</v>
      </c>
      <c r="B65" s="102">
        <f>INDEX('Tax Expenditures'!B:B, MATCH('Tableau - Rates'!A65, 'Tax Expenditures'!E:E, 0), 0)*1000000</f>
        <v>12200000</v>
      </c>
      <c r="C65" s="103" t="s">
        <v>134</v>
      </c>
      <c r="D65" s="103" t="s">
        <v>630</v>
      </c>
      <c r="E65" s="103"/>
      <c r="F65" s="103"/>
      <c r="G65" t="s">
        <v>143</v>
      </c>
      <c r="H65" t="s">
        <v>136</v>
      </c>
      <c r="J65" t="s">
        <v>147</v>
      </c>
      <c r="L65" t="s">
        <v>292</v>
      </c>
      <c r="M65">
        <f t="shared" si="5"/>
        <v>1</v>
      </c>
    </row>
    <row r="66" spans="1:13" x14ac:dyDescent="0.25">
      <c r="A66" t="s">
        <v>183</v>
      </c>
      <c r="B66" s="102">
        <f>INDEX('Tax Expenditures'!B:B, MATCH('Tableau - Rates'!A66, 'Tax Expenditures'!E:E, 0), 0)*1000000</f>
        <v>14100000</v>
      </c>
      <c r="C66" s="103" t="s">
        <v>134</v>
      </c>
      <c r="D66" s="103" t="s">
        <v>324</v>
      </c>
      <c r="E66" s="103"/>
      <c r="F66" s="103"/>
      <c r="G66" t="s">
        <v>143</v>
      </c>
      <c r="H66" t="s">
        <v>136</v>
      </c>
      <c r="J66" t="s">
        <v>156</v>
      </c>
      <c r="L66" t="s">
        <v>292</v>
      </c>
      <c r="M66">
        <f t="shared" si="5"/>
        <v>1</v>
      </c>
    </row>
    <row r="67" spans="1:13" x14ac:dyDescent="0.25">
      <c r="A67" t="s">
        <v>185</v>
      </c>
      <c r="B67" s="102">
        <f>INDEX('Tax Expenditures'!B:B, MATCH('Tableau - Rates'!A67, 'Tax Expenditures'!E:E, 0), 0)*1000000</f>
        <v>351000000</v>
      </c>
      <c r="C67" s="103" t="s">
        <v>134</v>
      </c>
      <c r="D67" s="103" t="s">
        <v>310</v>
      </c>
      <c r="E67" s="103"/>
      <c r="F67" s="103"/>
      <c r="G67" t="s">
        <v>143</v>
      </c>
      <c r="H67" t="s">
        <v>136</v>
      </c>
      <c r="J67" t="s">
        <v>157</v>
      </c>
      <c r="L67" t="s">
        <v>292</v>
      </c>
      <c r="M67">
        <f t="shared" si="5"/>
        <v>1</v>
      </c>
    </row>
    <row r="68" spans="1:13" x14ac:dyDescent="0.25">
      <c r="A68" t="s">
        <v>186</v>
      </c>
      <c r="B68" s="102">
        <f>INDEX('Tax Expenditures'!B:B, MATCH('Tableau - Rates'!A68, 'Tax Expenditures'!E:E, 0), 0)*1000000</f>
        <v>16700000</v>
      </c>
      <c r="C68" s="103" t="s">
        <v>134</v>
      </c>
      <c r="D68" s="103" t="s">
        <v>308</v>
      </c>
      <c r="E68" s="103"/>
      <c r="F68" s="103"/>
      <c r="G68" t="s">
        <v>143</v>
      </c>
      <c r="H68" t="s">
        <v>136</v>
      </c>
      <c r="J68" t="s">
        <v>158</v>
      </c>
      <c r="L68" t="s">
        <v>292</v>
      </c>
      <c r="M68">
        <f t="shared" si="5"/>
        <v>1</v>
      </c>
    </row>
    <row r="69" spans="1:13" x14ac:dyDescent="0.25">
      <c r="A69" t="s">
        <v>187</v>
      </c>
      <c r="B69" s="102">
        <f>INDEX('Tax Expenditures'!B:B, MATCH('Tableau - Rates'!A69, 'Tax Expenditures'!E:E, 0), 0)*1000000</f>
        <v>63200000</v>
      </c>
      <c r="C69" s="103" t="s">
        <v>134</v>
      </c>
      <c r="D69" s="103" t="s">
        <v>334</v>
      </c>
      <c r="E69" s="103"/>
      <c r="F69" s="103"/>
      <c r="G69" t="s">
        <v>143</v>
      </c>
      <c r="H69" t="s">
        <v>136</v>
      </c>
      <c r="J69" t="s">
        <v>151</v>
      </c>
      <c r="L69" t="s">
        <v>292</v>
      </c>
      <c r="M69">
        <f t="shared" si="5"/>
        <v>1</v>
      </c>
    </row>
    <row r="70" spans="1:13" x14ac:dyDescent="0.25">
      <c r="A70" t="s">
        <v>188</v>
      </c>
      <c r="B70" s="102">
        <f>INDEX('Tax Expenditures'!B:B, MATCH('Tableau - Rates'!A70, 'Tax Expenditures'!E:E, 0), 0)*1000000</f>
        <v>423800000</v>
      </c>
      <c r="C70" s="103" t="s">
        <v>134</v>
      </c>
      <c r="D70" s="103" t="s">
        <v>332</v>
      </c>
      <c r="E70" s="103"/>
      <c r="F70" s="103"/>
      <c r="G70" t="s">
        <v>143</v>
      </c>
      <c r="H70" t="s">
        <v>136</v>
      </c>
      <c r="J70" t="s">
        <v>151</v>
      </c>
      <c r="L70" t="s">
        <v>292</v>
      </c>
      <c r="M70">
        <f t="shared" si="5"/>
        <v>1</v>
      </c>
    </row>
    <row r="71" spans="1:13" x14ac:dyDescent="0.25">
      <c r="A71" t="s">
        <v>189</v>
      </c>
      <c r="B71" s="102">
        <f>INDEX('Tax Expenditures'!B:B, MATCH('Tableau - Rates'!A71, 'Tax Expenditures'!E:E, 0), 0)*1000000</f>
        <v>12700000</v>
      </c>
      <c r="C71" s="103" t="s">
        <v>134</v>
      </c>
      <c r="D71" s="103" t="s">
        <v>306</v>
      </c>
      <c r="E71" s="103"/>
      <c r="F71" s="103"/>
      <c r="G71" t="s">
        <v>143</v>
      </c>
      <c r="H71" t="s">
        <v>136</v>
      </c>
      <c r="J71" t="s">
        <v>151</v>
      </c>
      <c r="L71" t="s">
        <v>292</v>
      </c>
      <c r="M71">
        <f t="shared" si="5"/>
        <v>1</v>
      </c>
    </row>
    <row r="72" spans="1:13" x14ac:dyDescent="0.25">
      <c r="A72" t="s">
        <v>190</v>
      </c>
      <c r="B72" s="102">
        <f>INDEX('Tax Expenditures'!B:B, MATCH('Tableau - Rates'!A72, 'Tax Expenditures'!E:E, 0), 0)*1000000</f>
        <v>23700000</v>
      </c>
      <c r="C72" s="103" t="s">
        <v>134</v>
      </c>
      <c r="D72" s="103" t="s">
        <v>305</v>
      </c>
      <c r="E72" s="103"/>
      <c r="F72" s="103"/>
      <c r="G72" t="s">
        <v>143</v>
      </c>
      <c r="H72" t="s">
        <v>136</v>
      </c>
      <c r="J72" t="s">
        <v>157</v>
      </c>
      <c r="L72" t="s">
        <v>292</v>
      </c>
      <c r="M72">
        <f t="shared" si="5"/>
        <v>1</v>
      </c>
    </row>
    <row r="73" spans="1:13" x14ac:dyDescent="0.25">
      <c r="A73" t="s">
        <v>191</v>
      </c>
      <c r="B73" s="102">
        <f>INDEX('Tax Expenditures'!B:B, MATCH('Tableau - Rates'!A73, 'Tax Expenditures'!E:E, 0), 0)*1000000</f>
        <v>1446800000</v>
      </c>
      <c r="C73" s="103" t="s">
        <v>134</v>
      </c>
      <c r="D73" s="103" t="s">
        <v>338</v>
      </c>
      <c r="E73" s="103"/>
      <c r="F73" s="103"/>
      <c r="G73" t="s">
        <v>143</v>
      </c>
      <c r="H73" t="s">
        <v>136</v>
      </c>
      <c r="J73" t="s">
        <v>159</v>
      </c>
      <c r="L73" t="s">
        <v>292</v>
      </c>
      <c r="M73">
        <f t="shared" si="5"/>
        <v>1</v>
      </c>
    </row>
    <row r="74" spans="1:13" x14ac:dyDescent="0.25">
      <c r="A74" t="s">
        <v>192</v>
      </c>
      <c r="B74" s="102">
        <f>INDEX('Tax Expenditures'!B:B, MATCH('Tableau - Rates'!A74, 'Tax Expenditures'!E:E, 0), 0)*1000000</f>
        <v>161400000</v>
      </c>
      <c r="C74" s="103" t="s">
        <v>134</v>
      </c>
      <c r="D74" s="103" t="s">
        <v>339</v>
      </c>
      <c r="E74" s="103"/>
      <c r="F74" s="103"/>
      <c r="G74" t="s">
        <v>143</v>
      </c>
      <c r="H74" t="s">
        <v>136</v>
      </c>
      <c r="J74" t="s">
        <v>147</v>
      </c>
      <c r="L74" t="s">
        <v>292</v>
      </c>
      <c r="M74">
        <f t="shared" si="5"/>
        <v>1</v>
      </c>
    </row>
    <row r="75" spans="1:13" x14ac:dyDescent="0.25">
      <c r="A75" t="s">
        <v>193</v>
      </c>
      <c r="B75" s="102">
        <f>INDEX('Tax Expenditures'!B:B, MATCH('Tableau - Rates'!A75, 'Tax Expenditures'!E:E, 0), 0)*1000000</f>
        <v>130199999.99999999</v>
      </c>
      <c r="C75" s="103" t="s">
        <v>134</v>
      </c>
      <c r="D75" s="103" t="s">
        <v>326</v>
      </c>
      <c r="E75" s="103"/>
      <c r="F75" s="103"/>
      <c r="G75" t="s">
        <v>143</v>
      </c>
      <c r="H75" t="s">
        <v>136</v>
      </c>
      <c r="J75" t="s">
        <v>147</v>
      </c>
      <c r="L75" t="s">
        <v>292</v>
      </c>
      <c r="M75">
        <f t="shared" si="5"/>
        <v>1</v>
      </c>
    </row>
    <row r="76" spans="1:13" x14ac:dyDescent="0.25">
      <c r="A76" t="s">
        <v>194</v>
      </c>
      <c r="B76" s="102">
        <f>INDEX('Tax Expenditures'!B:B, MATCH('Tableau - Rates'!A76, 'Tax Expenditures'!E:E, 0), 0)*1000000</f>
        <v>66000000</v>
      </c>
      <c r="C76" s="103" t="s">
        <v>134</v>
      </c>
      <c r="D76" s="103" t="s">
        <v>342</v>
      </c>
      <c r="E76" s="103"/>
      <c r="F76" s="103"/>
      <c r="G76" t="s">
        <v>143</v>
      </c>
      <c r="H76" t="s">
        <v>136</v>
      </c>
      <c r="J76" t="s">
        <v>147</v>
      </c>
      <c r="L76" t="s">
        <v>292</v>
      </c>
      <c r="M76">
        <f t="shared" si="5"/>
        <v>1</v>
      </c>
    </row>
    <row r="77" spans="1:13" x14ac:dyDescent="0.25">
      <c r="A77" s="111" t="s">
        <v>671</v>
      </c>
      <c r="B77" s="136">
        <f>INDEX('Tax Expenditures'!B:B, MATCH('Tableau - Rates'!A77, 'Tax Expenditures'!E:E, 0), 0)*1000000</f>
        <v>11400000</v>
      </c>
      <c r="C77" s="111" t="s">
        <v>134</v>
      </c>
      <c r="D77" s="111" t="s">
        <v>665</v>
      </c>
      <c r="E77" s="111"/>
      <c r="F77" s="111"/>
      <c r="G77" s="111" t="s">
        <v>143</v>
      </c>
      <c r="H77" s="111" t="s">
        <v>136</v>
      </c>
      <c r="I77" s="111"/>
      <c r="J77" s="111" t="s">
        <v>147</v>
      </c>
      <c r="K77" s="111"/>
      <c r="L77" s="111" t="s">
        <v>292</v>
      </c>
      <c r="M77" s="111">
        <f t="shared" si="5"/>
        <v>1</v>
      </c>
    </row>
    <row r="78" spans="1:13" x14ac:dyDescent="0.25">
      <c r="A78" s="111" t="s">
        <v>672</v>
      </c>
      <c r="B78" s="136">
        <f>INDEX('Tax Expenditures'!B:B, MATCH('Tableau - Rates'!A78, 'Tax Expenditures'!E:E, 0), 0)*1000000</f>
        <v>10000000</v>
      </c>
      <c r="C78" s="111" t="s">
        <v>134</v>
      </c>
      <c r="D78" s="111" t="s">
        <v>314</v>
      </c>
      <c r="E78" s="111"/>
      <c r="F78" s="111"/>
      <c r="G78" s="111" t="s">
        <v>143</v>
      </c>
      <c r="H78" s="111" t="s">
        <v>136</v>
      </c>
      <c r="I78" s="111"/>
      <c r="J78" s="111" t="s">
        <v>160</v>
      </c>
      <c r="K78" s="111"/>
      <c r="L78" s="111" t="s">
        <v>292</v>
      </c>
      <c r="M78" s="111">
        <f t="shared" si="5"/>
        <v>1</v>
      </c>
    </row>
    <row r="79" spans="1:13" x14ac:dyDescent="0.25">
      <c r="A79" t="s">
        <v>195</v>
      </c>
      <c r="B79" s="102">
        <f>INDEX('Tax Expenditures'!B:B, MATCH('Tableau - Rates'!A79, 'Tax Expenditures'!E:E, 0), 0)*1000000</f>
        <v>87800000</v>
      </c>
      <c r="C79" s="103" t="s">
        <v>134</v>
      </c>
      <c r="D79" s="103" t="s">
        <v>71</v>
      </c>
      <c r="E79" s="103"/>
      <c r="F79" s="103"/>
      <c r="G79" t="s">
        <v>143</v>
      </c>
      <c r="H79" t="s">
        <v>136</v>
      </c>
      <c r="J79" t="s">
        <v>150</v>
      </c>
      <c r="L79" t="s">
        <v>1</v>
      </c>
      <c r="M79">
        <f t="shared" si="5"/>
        <v>1</v>
      </c>
    </row>
    <row r="80" spans="1:13" x14ac:dyDescent="0.25">
      <c r="A80" t="s">
        <v>196</v>
      </c>
      <c r="B80" s="102">
        <f>INDEX('Tax Expenditures'!B:B, MATCH('Tableau - Rates'!A80, 'Tax Expenditures'!E:E, 0), 0)*1000000</f>
        <v>700000</v>
      </c>
      <c r="C80" s="103" t="s">
        <v>134</v>
      </c>
      <c r="D80" s="103" t="s">
        <v>328</v>
      </c>
      <c r="E80" s="103"/>
      <c r="F80" s="103"/>
      <c r="G80" t="s">
        <v>143</v>
      </c>
      <c r="H80" t="s">
        <v>136</v>
      </c>
      <c r="J80" t="s">
        <v>150</v>
      </c>
      <c r="L80" t="s">
        <v>1</v>
      </c>
      <c r="M80">
        <f t="shared" si="5"/>
        <v>1</v>
      </c>
    </row>
    <row r="81" spans="1:15" x14ac:dyDescent="0.25">
      <c r="A81" t="s">
        <v>197</v>
      </c>
      <c r="B81" s="102">
        <f>INDEX('Tax Expenditures'!B:B, MATCH('Tableau - Rates'!A81, 'Tax Expenditures'!E:E, 0), 0)*1000000</f>
        <v>40000000</v>
      </c>
      <c r="C81" s="103" t="s">
        <v>134</v>
      </c>
      <c r="D81" s="103" t="s">
        <v>304</v>
      </c>
      <c r="E81" s="103"/>
      <c r="F81" s="103"/>
      <c r="G81" t="s">
        <v>143</v>
      </c>
      <c r="H81" t="s">
        <v>136</v>
      </c>
      <c r="J81" t="s">
        <v>151</v>
      </c>
      <c r="L81" t="s">
        <v>1</v>
      </c>
      <c r="M81">
        <f t="shared" ref="M81:M112" si="6">COUNTIF(A:A, A81)</f>
        <v>1</v>
      </c>
    </row>
    <row r="82" spans="1:15" x14ac:dyDescent="0.25">
      <c r="A82" t="s">
        <v>198</v>
      </c>
      <c r="B82" s="102">
        <f>INDEX('Tax Expenditures'!B:B, MATCH('Tableau - Rates'!A82, 'Tax Expenditures'!E:E, 0), 0)*1000000</f>
        <v>100000</v>
      </c>
      <c r="C82" s="103" t="s">
        <v>134</v>
      </c>
      <c r="D82" s="103" t="s">
        <v>307</v>
      </c>
      <c r="E82" s="103"/>
      <c r="F82" s="103"/>
      <c r="G82" t="s">
        <v>143</v>
      </c>
      <c r="H82" t="s">
        <v>136</v>
      </c>
      <c r="J82" t="s">
        <v>147</v>
      </c>
      <c r="L82" t="s">
        <v>1</v>
      </c>
      <c r="M82">
        <f t="shared" si="6"/>
        <v>1</v>
      </c>
    </row>
    <row r="83" spans="1:15" x14ac:dyDescent="0.25">
      <c r="A83" t="s">
        <v>199</v>
      </c>
      <c r="B83" s="102">
        <f>INDEX('Tax Expenditures'!B:B, MATCH('Tableau - Rates'!A83, 'Tax Expenditures'!E:E, 0), 0)*1000000</f>
        <v>11400000</v>
      </c>
      <c r="C83" s="103" t="s">
        <v>134</v>
      </c>
      <c r="D83" s="103" t="s">
        <v>313</v>
      </c>
      <c r="E83" s="103"/>
      <c r="F83" s="103"/>
      <c r="G83" t="s">
        <v>143</v>
      </c>
      <c r="H83" t="s">
        <v>136</v>
      </c>
      <c r="J83" t="s">
        <v>146</v>
      </c>
      <c r="L83" t="s">
        <v>1</v>
      </c>
      <c r="M83">
        <f t="shared" si="6"/>
        <v>1</v>
      </c>
    </row>
    <row r="84" spans="1:15" x14ac:dyDescent="0.25">
      <c r="A84" t="s">
        <v>200</v>
      </c>
      <c r="B84" s="102">
        <f>INDEX('Tax Expenditures'!B:B, MATCH('Tableau - Rates'!A84, 'Tax Expenditures'!E:E, 0), 0)*1000000</f>
        <v>30000000</v>
      </c>
      <c r="C84" s="103" t="s">
        <v>134</v>
      </c>
      <c r="D84" s="103" t="s">
        <v>314</v>
      </c>
      <c r="E84" s="103"/>
      <c r="F84" s="103"/>
      <c r="G84" t="s">
        <v>143</v>
      </c>
      <c r="H84" t="s">
        <v>136</v>
      </c>
      <c r="J84" t="s">
        <v>160</v>
      </c>
      <c r="L84" t="s">
        <v>1</v>
      </c>
      <c r="M84">
        <f t="shared" si="6"/>
        <v>1</v>
      </c>
    </row>
    <row r="85" spans="1:15" x14ac:dyDescent="0.25">
      <c r="A85" t="s">
        <v>201</v>
      </c>
      <c r="B85" s="102">
        <f>INDEX('Tax Expenditures'!B:B, MATCH('Tableau - Rates'!A85, 'Tax Expenditures'!E:E, 0), 0)*1000000</f>
        <v>10000000</v>
      </c>
      <c r="C85" s="103" t="s">
        <v>134</v>
      </c>
      <c r="D85" s="103" t="s">
        <v>315</v>
      </c>
      <c r="E85" s="103"/>
      <c r="F85" s="103"/>
      <c r="G85" t="s">
        <v>143</v>
      </c>
      <c r="H85" t="s">
        <v>136</v>
      </c>
      <c r="J85" t="s">
        <v>160</v>
      </c>
      <c r="L85" t="s">
        <v>1</v>
      </c>
      <c r="M85">
        <f t="shared" si="6"/>
        <v>1</v>
      </c>
    </row>
    <row r="86" spans="1:15" x14ac:dyDescent="0.25">
      <c r="A86" t="s">
        <v>202</v>
      </c>
      <c r="B86" s="102">
        <f>INDEX('Tax Expenditures'!B:B, MATCH('Tableau - Rates'!A86, 'Tax Expenditures'!E:E, 0), 0)*1000000</f>
        <v>40000000</v>
      </c>
      <c r="C86" s="103" t="s">
        <v>134</v>
      </c>
      <c r="D86" s="103" t="s">
        <v>316</v>
      </c>
      <c r="E86" s="103"/>
      <c r="F86" s="103"/>
      <c r="G86" t="s">
        <v>143</v>
      </c>
      <c r="H86" t="s">
        <v>136</v>
      </c>
      <c r="J86" t="s">
        <v>161</v>
      </c>
      <c r="L86" t="s">
        <v>1</v>
      </c>
      <c r="M86">
        <f t="shared" si="6"/>
        <v>1</v>
      </c>
    </row>
    <row r="87" spans="1:15" x14ac:dyDescent="0.25">
      <c r="A87" t="s">
        <v>203</v>
      </c>
      <c r="B87" s="102">
        <f>INDEX('Tax Expenditures'!B:B, MATCH('Tableau - Rates'!A87, 'Tax Expenditures'!E:E, 0), 0)*1000000</f>
        <v>1300000</v>
      </c>
      <c r="C87" s="103" t="s">
        <v>134</v>
      </c>
      <c r="D87" s="101" t="s">
        <v>349</v>
      </c>
      <c r="E87" s="103"/>
      <c r="F87" s="103"/>
      <c r="G87" t="s">
        <v>143</v>
      </c>
      <c r="H87" t="s">
        <v>136</v>
      </c>
      <c r="J87" t="s">
        <v>160</v>
      </c>
      <c r="L87" t="s">
        <v>1</v>
      </c>
      <c r="M87">
        <f t="shared" si="6"/>
        <v>1</v>
      </c>
      <c r="O87" s="15"/>
    </row>
    <row r="88" spans="1:15" x14ac:dyDescent="0.25">
      <c r="A88" t="s">
        <v>204</v>
      </c>
      <c r="B88" s="102">
        <f>INDEX('Tax Expenditures'!B:B, MATCH('Tableau - Rates'!A88, 'Tax Expenditures'!E:E, 0), 0)*1000000</f>
        <v>2500000</v>
      </c>
      <c r="C88" s="103" t="s">
        <v>134</v>
      </c>
      <c r="D88" s="103" t="s">
        <v>317</v>
      </c>
      <c r="E88" s="103"/>
      <c r="F88" s="103"/>
      <c r="G88" t="s">
        <v>143</v>
      </c>
      <c r="H88" t="s">
        <v>136</v>
      </c>
      <c r="J88" t="s">
        <v>160</v>
      </c>
      <c r="L88" t="s">
        <v>1</v>
      </c>
      <c r="M88">
        <f t="shared" si="6"/>
        <v>1</v>
      </c>
    </row>
    <row r="89" spans="1:15" x14ac:dyDescent="0.25">
      <c r="A89" t="s">
        <v>636</v>
      </c>
      <c r="B89" s="102">
        <f>INDEX('Tax Expenditures'!B:B, MATCH('Tableau - Rates'!A89, 'Tax Expenditures'!E:E, 0), 0)*1000000</f>
        <v>700000</v>
      </c>
      <c r="C89" s="103" t="s">
        <v>134</v>
      </c>
      <c r="D89" t="s">
        <v>637</v>
      </c>
      <c r="E89" s="103"/>
      <c r="F89" s="103"/>
      <c r="G89" t="s">
        <v>143</v>
      </c>
      <c r="H89" t="s">
        <v>136</v>
      </c>
      <c r="J89" t="s">
        <v>147</v>
      </c>
      <c r="L89" t="s">
        <v>1</v>
      </c>
      <c r="M89">
        <f t="shared" si="6"/>
        <v>1</v>
      </c>
    </row>
    <row r="90" spans="1:15" x14ac:dyDescent="0.25">
      <c r="A90" t="s">
        <v>205</v>
      </c>
      <c r="B90" s="102">
        <f>INDEX('Tax Expenditures'!B:B, MATCH('Tableau - Rates'!A90, 'Tax Expenditures'!E:E, 0), 0)*1000000</f>
        <v>800000</v>
      </c>
      <c r="C90" s="103" t="s">
        <v>134</v>
      </c>
      <c r="D90" s="103" t="s">
        <v>321</v>
      </c>
      <c r="E90" s="103"/>
      <c r="F90" s="103"/>
      <c r="G90" t="s">
        <v>143</v>
      </c>
      <c r="H90" t="s">
        <v>136</v>
      </c>
      <c r="J90" t="s">
        <v>162</v>
      </c>
      <c r="L90" t="s">
        <v>1</v>
      </c>
      <c r="M90">
        <f t="shared" si="6"/>
        <v>1</v>
      </c>
    </row>
    <row r="91" spans="1:15" x14ac:dyDescent="0.25">
      <c r="A91" t="s">
        <v>206</v>
      </c>
      <c r="B91" s="102">
        <f>INDEX('Tax Expenditures'!B:B, MATCH('Tableau - Rates'!A91, 'Tax Expenditures'!E:E, 0), 0)*1000000</f>
        <v>1600000</v>
      </c>
      <c r="C91" s="103" t="s">
        <v>134</v>
      </c>
      <c r="D91" s="103" t="s">
        <v>327</v>
      </c>
      <c r="E91" s="103"/>
      <c r="F91" s="103"/>
      <c r="G91" t="s">
        <v>143</v>
      </c>
      <c r="H91" t="s">
        <v>136</v>
      </c>
      <c r="J91" t="s">
        <v>162</v>
      </c>
      <c r="L91" t="s">
        <v>1</v>
      </c>
      <c r="M91">
        <f t="shared" si="6"/>
        <v>1</v>
      </c>
      <c r="O91" s="15"/>
    </row>
    <row r="92" spans="1:15" x14ac:dyDescent="0.25">
      <c r="A92" t="s">
        <v>207</v>
      </c>
      <c r="B92" s="102">
        <f>INDEX('Tax Expenditures'!B:B, MATCH('Tableau - Rates'!A92, 'Tax Expenditures'!E:E, 0), 0)*1000000</f>
        <v>13500000</v>
      </c>
      <c r="C92" s="103" t="s">
        <v>134</v>
      </c>
      <c r="D92" s="103" t="s">
        <v>626</v>
      </c>
      <c r="E92" s="103"/>
      <c r="F92" s="103"/>
      <c r="G92" t="s">
        <v>143</v>
      </c>
      <c r="H92" t="s">
        <v>136</v>
      </c>
      <c r="J92" t="s">
        <v>147</v>
      </c>
      <c r="L92" t="s">
        <v>1</v>
      </c>
      <c r="M92">
        <f t="shared" si="6"/>
        <v>1</v>
      </c>
      <c r="O92" s="15"/>
    </row>
    <row r="93" spans="1:15" x14ac:dyDescent="0.25">
      <c r="A93" t="s">
        <v>208</v>
      </c>
      <c r="B93" s="102">
        <f>INDEX('Tax Expenditures'!B:B, MATCH('Tableau - Rates'!A93, 'Tax Expenditures'!E:E, 0), 0)*1000000</f>
        <v>33000000</v>
      </c>
      <c r="C93" s="103" t="s">
        <v>134</v>
      </c>
      <c r="D93" s="103" t="s">
        <v>335</v>
      </c>
      <c r="E93" s="103"/>
      <c r="F93" s="103"/>
      <c r="G93" t="s">
        <v>143</v>
      </c>
      <c r="H93" t="s">
        <v>136</v>
      </c>
      <c r="J93" t="s">
        <v>147</v>
      </c>
      <c r="L93" t="s">
        <v>1</v>
      </c>
      <c r="M93">
        <f t="shared" si="6"/>
        <v>1</v>
      </c>
      <c r="O93" s="15"/>
    </row>
    <row r="94" spans="1:15" x14ac:dyDescent="0.25">
      <c r="A94" t="s">
        <v>209</v>
      </c>
      <c r="B94" s="102">
        <f>INDEX('Tax Expenditures'!B:B, MATCH('Tableau - Rates'!A94, 'Tax Expenditures'!E:E, 0), 0)*1000000</f>
        <v>6600000</v>
      </c>
      <c r="C94" s="103" t="s">
        <v>134</v>
      </c>
      <c r="D94" s="103" t="s">
        <v>336</v>
      </c>
      <c r="E94" s="103"/>
      <c r="F94" s="103"/>
      <c r="G94" t="s">
        <v>143</v>
      </c>
      <c r="H94" t="s">
        <v>136</v>
      </c>
      <c r="J94" t="s">
        <v>151</v>
      </c>
      <c r="L94" t="s">
        <v>1</v>
      </c>
      <c r="M94">
        <f t="shared" si="6"/>
        <v>1</v>
      </c>
      <c r="O94" s="15"/>
    </row>
    <row r="95" spans="1:15" x14ac:dyDescent="0.25">
      <c r="A95" t="s">
        <v>210</v>
      </c>
      <c r="B95" s="102">
        <f>INDEX('Tax Expenditures'!B:B, MATCH('Tableau - Rates'!A95, 'Tax Expenditures'!E:E, 0), 0)*1000000</f>
        <v>3700000</v>
      </c>
      <c r="C95" s="103" t="s">
        <v>134</v>
      </c>
      <c r="D95" s="103" t="s">
        <v>627</v>
      </c>
      <c r="E95" s="103"/>
      <c r="F95" s="103"/>
      <c r="G95" t="s">
        <v>143</v>
      </c>
      <c r="H95" t="s">
        <v>136</v>
      </c>
      <c r="J95" t="s">
        <v>160</v>
      </c>
      <c r="L95" t="s">
        <v>1</v>
      </c>
      <c r="M95">
        <f t="shared" si="6"/>
        <v>1</v>
      </c>
      <c r="O95" s="15"/>
    </row>
    <row r="96" spans="1:15" x14ac:dyDescent="0.25">
      <c r="A96" t="s">
        <v>211</v>
      </c>
      <c r="B96" s="102">
        <f>INDEX('Tax Expenditures'!B:B, MATCH('Tableau - Rates'!A96, 'Tax Expenditures'!E:E, 0), 0)*1000000</f>
        <v>600000</v>
      </c>
      <c r="C96" s="103" t="s">
        <v>134</v>
      </c>
      <c r="D96" s="103" t="s">
        <v>330</v>
      </c>
      <c r="E96" s="103"/>
      <c r="F96" s="103"/>
      <c r="G96" t="s">
        <v>143</v>
      </c>
      <c r="H96" t="s">
        <v>136</v>
      </c>
      <c r="J96" t="s">
        <v>151</v>
      </c>
      <c r="L96" t="s">
        <v>281</v>
      </c>
      <c r="M96">
        <f t="shared" si="6"/>
        <v>1</v>
      </c>
    </row>
    <row r="97" spans="1:13" x14ac:dyDescent="0.25">
      <c r="A97" t="s">
        <v>212</v>
      </c>
      <c r="B97" s="102">
        <f>INDEX('Tax Expenditures'!B:B, MATCH('Tableau - Rates'!A97, 'Tax Expenditures'!E:E, 0), 0)*1000000</f>
        <v>15000000</v>
      </c>
      <c r="C97" s="103" t="s">
        <v>134</v>
      </c>
      <c r="D97" s="103" t="s">
        <v>341</v>
      </c>
      <c r="E97" s="103"/>
      <c r="F97" s="103"/>
      <c r="G97" t="s">
        <v>143</v>
      </c>
      <c r="H97" t="s">
        <v>136</v>
      </c>
      <c r="J97" t="s">
        <v>150</v>
      </c>
      <c r="L97" t="s">
        <v>281</v>
      </c>
      <c r="M97">
        <f t="shared" si="6"/>
        <v>1</v>
      </c>
    </row>
    <row r="98" spans="1:13" x14ac:dyDescent="0.25">
      <c r="A98" s="111" t="s">
        <v>675</v>
      </c>
      <c r="B98" s="136">
        <f>INDEX('Tax Expenditures'!B:B, MATCH('Tableau - Rates'!A98, 'Tax Expenditures'!E:E, 0), 0)*1000000</f>
        <v>26000000</v>
      </c>
      <c r="C98" s="111" t="s">
        <v>134</v>
      </c>
      <c r="D98" s="111" t="s">
        <v>678</v>
      </c>
      <c r="E98" s="111"/>
      <c r="F98" s="111"/>
      <c r="G98" s="111" t="s">
        <v>143</v>
      </c>
      <c r="H98" s="111" t="s">
        <v>136</v>
      </c>
      <c r="I98" s="111"/>
      <c r="J98" s="111" t="s">
        <v>666</v>
      </c>
      <c r="K98" s="111"/>
      <c r="L98" s="111" t="s">
        <v>281</v>
      </c>
      <c r="M98" s="111">
        <f t="shared" si="6"/>
        <v>1</v>
      </c>
    </row>
    <row r="99" spans="1:13" x14ac:dyDescent="0.25">
      <c r="A99" t="s">
        <v>213</v>
      </c>
      <c r="B99" s="102">
        <f>INDEX('Tax Expenditures'!B:B, MATCH('Tableau - Rates'!A99, 'Tax Expenditures'!E:E, 0), 0)*1000000</f>
        <v>700000</v>
      </c>
      <c r="C99" s="103" t="s">
        <v>134</v>
      </c>
      <c r="D99" s="103" t="s">
        <v>318</v>
      </c>
      <c r="E99" s="103"/>
      <c r="F99" s="103"/>
      <c r="G99" t="s">
        <v>143</v>
      </c>
      <c r="H99" t="s">
        <v>136</v>
      </c>
      <c r="J99" t="s">
        <v>158</v>
      </c>
      <c r="L99" t="s">
        <v>281</v>
      </c>
      <c r="M99">
        <f t="shared" si="6"/>
        <v>1</v>
      </c>
    </row>
    <row r="100" spans="1:13" x14ac:dyDescent="0.25">
      <c r="A100" t="s">
        <v>214</v>
      </c>
      <c r="B100" s="102">
        <f>INDEX('Tax Expenditures'!B:B, MATCH('Tableau - Rates'!A100, 'Tax Expenditures'!E:E, 0), 0)*1000000</f>
        <v>1000000</v>
      </c>
      <c r="C100" s="103" t="s">
        <v>134</v>
      </c>
      <c r="D100" s="103" t="s">
        <v>327</v>
      </c>
      <c r="E100" s="103"/>
      <c r="F100" s="103"/>
      <c r="G100" t="s">
        <v>143</v>
      </c>
      <c r="H100" t="s">
        <v>136</v>
      </c>
      <c r="J100" t="s">
        <v>162</v>
      </c>
      <c r="L100" t="s">
        <v>281</v>
      </c>
      <c r="M100">
        <f t="shared" si="6"/>
        <v>1</v>
      </c>
    </row>
    <row r="101" spans="1:13" x14ac:dyDescent="0.25">
      <c r="A101" t="s">
        <v>215</v>
      </c>
      <c r="B101" s="102">
        <f>INDEX('Tax Expenditures'!B:B, MATCH('Tableau - Rates'!A101, 'Tax Expenditures'!E:E, 0), 0)*1000000</f>
        <v>35000000</v>
      </c>
      <c r="C101" s="103" t="s">
        <v>134</v>
      </c>
      <c r="D101" s="103" t="s">
        <v>319</v>
      </c>
      <c r="E101" s="103"/>
      <c r="F101" s="103"/>
      <c r="G101" t="s">
        <v>143</v>
      </c>
      <c r="H101" t="s">
        <v>136</v>
      </c>
      <c r="J101" t="s">
        <v>158</v>
      </c>
      <c r="L101" t="s">
        <v>281</v>
      </c>
      <c r="M101">
        <f t="shared" si="6"/>
        <v>1</v>
      </c>
    </row>
    <row r="102" spans="1:13" x14ac:dyDescent="0.25">
      <c r="A102" t="s">
        <v>216</v>
      </c>
      <c r="B102" s="102">
        <f>INDEX('Tax Expenditures'!B:B, MATCH('Tableau - Rates'!A102, 'Tax Expenditures'!E:E, 0), 0)*1000000</f>
        <v>18000000</v>
      </c>
      <c r="C102" s="103" t="s">
        <v>134</v>
      </c>
      <c r="D102" s="103" t="s">
        <v>313</v>
      </c>
      <c r="E102" s="103"/>
      <c r="F102" s="103"/>
      <c r="G102" t="s">
        <v>143</v>
      </c>
      <c r="H102" t="s">
        <v>136</v>
      </c>
      <c r="J102" t="s">
        <v>146</v>
      </c>
      <c r="L102" t="s">
        <v>281</v>
      </c>
      <c r="M102">
        <f t="shared" si="6"/>
        <v>1</v>
      </c>
    </row>
    <row r="103" spans="1:13" x14ac:dyDescent="0.25">
      <c r="A103" t="s">
        <v>217</v>
      </c>
      <c r="B103" s="102">
        <f>INDEX('Tax Expenditures'!B:B, MATCH('Tableau - Rates'!A103, 'Tax Expenditures'!E:E, 0), 0)*1000000</f>
        <v>42000000</v>
      </c>
      <c r="C103" s="103" t="s">
        <v>134</v>
      </c>
      <c r="D103" s="103" t="s">
        <v>314</v>
      </c>
      <c r="E103" s="103"/>
      <c r="F103" s="103"/>
      <c r="G103" t="s">
        <v>143</v>
      </c>
      <c r="H103" t="s">
        <v>136</v>
      </c>
      <c r="J103" t="s">
        <v>160</v>
      </c>
      <c r="L103" t="s">
        <v>281</v>
      </c>
      <c r="M103">
        <f t="shared" si="6"/>
        <v>1</v>
      </c>
    </row>
    <row r="104" spans="1:13" x14ac:dyDescent="0.25">
      <c r="A104" t="s">
        <v>218</v>
      </c>
      <c r="B104" s="102">
        <f>INDEX('Tax Expenditures'!B:B, MATCH('Tableau - Rates'!A104, 'Tax Expenditures'!E:E, 0), 0)*1000000</f>
        <v>1000000</v>
      </c>
      <c r="C104" s="103" t="s">
        <v>134</v>
      </c>
      <c r="D104" s="103" t="s">
        <v>315</v>
      </c>
      <c r="E104" s="103"/>
      <c r="F104" s="103"/>
      <c r="G104" t="s">
        <v>143</v>
      </c>
      <c r="H104" t="s">
        <v>136</v>
      </c>
      <c r="J104" t="s">
        <v>160</v>
      </c>
      <c r="L104" t="s">
        <v>281</v>
      </c>
      <c r="M104">
        <f t="shared" si="6"/>
        <v>1</v>
      </c>
    </row>
    <row r="105" spans="1:13" x14ac:dyDescent="0.25">
      <c r="A105" t="s">
        <v>219</v>
      </c>
      <c r="B105" s="102">
        <f>INDEX('Tax Expenditures'!B:B, MATCH('Tableau - Rates'!A105, 'Tax Expenditures'!E:E, 0), 0)*1000000</f>
        <v>8000000</v>
      </c>
      <c r="C105" s="103" t="s">
        <v>134</v>
      </c>
      <c r="D105" s="103" t="s">
        <v>343</v>
      </c>
      <c r="E105" s="103"/>
      <c r="F105" s="103"/>
      <c r="G105" t="s">
        <v>143</v>
      </c>
      <c r="H105" t="s">
        <v>136</v>
      </c>
      <c r="J105" t="s">
        <v>160</v>
      </c>
      <c r="L105" t="s">
        <v>281</v>
      </c>
      <c r="M105">
        <f t="shared" si="6"/>
        <v>1</v>
      </c>
    </row>
    <row r="106" spans="1:13" x14ac:dyDescent="0.25">
      <c r="A106" t="s">
        <v>220</v>
      </c>
      <c r="B106" s="102">
        <f>INDEX('Tax Expenditures'!B:B, MATCH(LEFT('Tableau - Rates'!A106, LEN(A106)-1), 'Tax Expenditures'!E:E, 0), 0)*1000000</f>
        <v>63000000</v>
      </c>
      <c r="C106" s="103" t="s">
        <v>134</v>
      </c>
      <c r="D106" s="103" t="s">
        <v>311</v>
      </c>
      <c r="E106" s="103"/>
      <c r="F106" s="103"/>
      <c r="G106" t="s">
        <v>143</v>
      </c>
      <c r="H106" t="s">
        <v>137</v>
      </c>
      <c r="J106" t="s">
        <v>151</v>
      </c>
      <c r="L106" t="s">
        <v>0</v>
      </c>
      <c r="M106">
        <f t="shared" si="6"/>
        <v>1</v>
      </c>
    </row>
    <row r="107" spans="1:13" x14ac:dyDescent="0.25">
      <c r="A107" t="s">
        <v>221</v>
      </c>
      <c r="B107" s="102">
        <f>INDEX('Tax Expenditures'!B:B, MATCH(LEFT('Tableau - Rates'!A107, LEN(A107)-1), 'Tax Expenditures'!E:E, 0), 0)*1000000</f>
        <v>166800000</v>
      </c>
      <c r="C107" s="103" t="s">
        <v>134</v>
      </c>
      <c r="D107" s="103" t="s">
        <v>312</v>
      </c>
      <c r="E107" s="103"/>
      <c r="F107" s="103"/>
      <c r="G107" t="s">
        <v>143</v>
      </c>
      <c r="H107" t="s">
        <v>137</v>
      </c>
      <c r="J107" t="s">
        <v>153</v>
      </c>
      <c r="L107" t="s">
        <v>0</v>
      </c>
      <c r="M107">
        <f t="shared" si="6"/>
        <v>1</v>
      </c>
    </row>
    <row r="108" spans="1:13" x14ac:dyDescent="0.25">
      <c r="A108" t="s">
        <v>222</v>
      </c>
      <c r="B108" s="102">
        <f>INDEX('Tax Expenditures'!B:B, MATCH(LEFT('Tableau - Rates'!A108, LEN(A108)-1), 'Tax Expenditures'!E:E, 0), 0)*1000000</f>
        <v>20000000</v>
      </c>
      <c r="C108" s="103" t="s">
        <v>134</v>
      </c>
      <c r="D108" s="103" t="s">
        <v>635</v>
      </c>
      <c r="E108" s="103"/>
      <c r="F108" s="103"/>
      <c r="G108" t="s">
        <v>143</v>
      </c>
      <c r="H108" t="s">
        <v>137</v>
      </c>
      <c r="J108" t="s">
        <v>147</v>
      </c>
      <c r="L108" t="s">
        <v>0</v>
      </c>
      <c r="M108">
        <f t="shared" si="6"/>
        <v>1</v>
      </c>
    </row>
    <row r="109" spans="1:13" x14ac:dyDescent="0.25">
      <c r="A109" t="s">
        <v>223</v>
      </c>
      <c r="B109" s="102">
        <f>INDEX('Tax Expenditures'!B:B, MATCH(LEFT('Tableau - Rates'!A109, LEN(A109)-1), 'Tax Expenditures'!E:E, 0), 0)*1000000</f>
        <v>653400000</v>
      </c>
      <c r="C109" s="103" t="s">
        <v>134</v>
      </c>
      <c r="D109" s="103" t="s">
        <v>337</v>
      </c>
      <c r="E109" s="103"/>
      <c r="F109" s="103"/>
      <c r="G109" t="s">
        <v>143</v>
      </c>
      <c r="H109" t="s">
        <v>137</v>
      </c>
      <c r="J109" t="s">
        <v>146</v>
      </c>
      <c r="L109" t="s">
        <v>292</v>
      </c>
      <c r="M109">
        <f t="shared" si="6"/>
        <v>1</v>
      </c>
    </row>
    <row r="110" spans="1:13" x14ac:dyDescent="0.25">
      <c r="A110" t="s">
        <v>224</v>
      </c>
      <c r="B110" s="102">
        <f>INDEX('Tax Expenditures'!B:B, MATCH(LEFT('Tableau - Rates'!A110, LEN(A110)-1), 'Tax Expenditures'!E:E, 0), 0)*1000000</f>
        <v>43100000</v>
      </c>
      <c r="C110" s="103" t="s">
        <v>134</v>
      </c>
      <c r="D110" s="103" t="s">
        <v>320</v>
      </c>
      <c r="E110" s="103"/>
      <c r="F110" s="103"/>
      <c r="G110" t="s">
        <v>143</v>
      </c>
      <c r="H110" t="s">
        <v>137</v>
      </c>
      <c r="J110" t="s">
        <v>150</v>
      </c>
      <c r="L110" t="s">
        <v>292</v>
      </c>
      <c r="M110">
        <f t="shared" si="6"/>
        <v>1</v>
      </c>
    </row>
    <row r="111" spans="1:13" x14ac:dyDescent="0.25">
      <c r="A111" t="s">
        <v>225</v>
      </c>
      <c r="B111" s="102">
        <f>INDEX('Tax Expenditures'!B:B, MATCH(LEFT('Tableau - Rates'!A111, LEN(A111)-1), 'Tax Expenditures'!E:E, 0), 0)*1000000</f>
        <v>22700000</v>
      </c>
      <c r="C111" s="103" t="s">
        <v>134</v>
      </c>
      <c r="D111" s="103" t="s">
        <v>331</v>
      </c>
      <c r="E111" s="103"/>
      <c r="F111" s="103"/>
      <c r="G111" t="s">
        <v>143</v>
      </c>
      <c r="H111" t="s">
        <v>137</v>
      </c>
      <c r="J111" t="s">
        <v>146</v>
      </c>
      <c r="L111" t="s">
        <v>292</v>
      </c>
      <c r="M111">
        <f t="shared" si="6"/>
        <v>1</v>
      </c>
    </row>
    <row r="112" spans="1:13" x14ac:dyDescent="0.25">
      <c r="A112" t="s">
        <v>226</v>
      </c>
      <c r="B112" s="102">
        <f>INDEX('Tax Expenditures'!B:B, MATCH(LEFT('Tableau - Rates'!A112, LEN(A112)-1), 'Tax Expenditures'!E:E, 0), 0)*1000000</f>
        <v>596900000</v>
      </c>
      <c r="C112" s="103" t="s">
        <v>134</v>
      </c>
      <c r="D112" s="103" t="s">
        <v>333</v>
      </c>
      <c r="E112" s="103"/>
      <c r="F112" s="103"/>
      <c r="G112" t="s">
        <v>143</v>
      </c>
      <c r="H112" t="s">
        <v>137</v>
      </c>
      <c r="J112" t="s">
        <v>146</v>
      </c>
      <c r="L112" t="s">
        <v>292</v>
      </c>
      <c r="M112">
        <f t="shared" si="6"/>
        <v>1</v>
      </c>
    </row>
    <row r="113" spans="1:13" x14ac:dyDescent="0.25">
      <c r="A113" t="s">
        <v>227</v>
      </c>
      <c r="B113" s="102">
        <f>INDEX('Tax Expenditures'!B:B, MATCH(LEFT('Tableau - Rates'!A113, LEN(A113)-1), 'Tax Expenditures'!E:E, 0), 0)*1000000</f>
        <v>32299999.999999996</v>
      </c>
      <c r="C113" s="103" t="s">
        <v>134</v>
      </c>
      <c r="D113" s="103" t="s">
        <v>329</v>
      </c>
      <c r="E113" s="103"/>
      <c r="F113" s="103"/>
      <c r="G113" t="s">
        <v>143</v>
      </c>
      <c r="H113" t="s">
        <v>137</v>
      </c>
      <c r="J113" t="s">
        <v>146</v>
      </c>
      <c r="L113" t="s">
        <v>292</v>
      </c>
      <c r="M113">
        <f t="shared" ref="M113:M144" si="7">COUNTIF(A:A, A113)</f>
        <v>1</v>
      </c>
    </row>
    <row r="114" spans="1:13" x14ac:dyDescent="0.25">
      <c r="A114" t="s">
        <v>228</v>
      </c>
      <c r="B114" s="102">
        <f>INDEX('Tax Expenditures'!B:B, MATCH(LEFT('Tableau - Rates'!A114, LEN(A114)-1), 'Tax Expenditures'!E:E, 0), 0)*1000000</f>
        <v>193500000</v>
      </c>
      <c r="C114" s="103" t="s">
        <v>134</v>
      </c>
      <c r="D114" s="103" t="s">
        <v>309</v>
      </c>
      <c r="E114" s="103"/>
      <c r="F114" s="103"/>
      <c r="G114" t="s">
        <v>143</v>
      </c>
      <c r="H114" t="s">
        <v>137</v>
      </c>
      <c r="J114" t="s">
        <v>154</v>
      </c>
      <c r="L114" t="s">
        <v>292</v>
      </c>
      <c r="M114">
        <f t="shared" si="7"/>
        <v>1</v>
      </c>
    </row>
    <row r="115" spans="1:13" x14ac:dyDescent="0.25">
      <c r="A115" t="s">
        <v>229</v>
      </c>
      <c r="B115" s="102">
        <f>INDEX('Tax Expenditures'!B:B, MATCH(LEFT('Tableau - Rates'!A115, LEN(A115)-1), 'Tax Expenditures'!E:E, 0), 0)*1000000</f>
        <v>58500000</v>
      </c>
      <c r="C115" s="103" t="s">
        <v>134</v>
      </c>
      <c r="D115" s="103" t="s">
        <v>344</v>
      </c>
      <c r="E115" s="103"/>
      <c r="F115" s="103"/>
      <c r="G115" t="s">
        <v>143</v>
      </c>
      <c r="H115" t="s">
        <v>137</v>
      </c>
      <c r="J115" t="s">
        <v>147</v>
      </c>
      <c r="L115" t="s">
        <v>292</v>
      </c>
      <c r="M115">
        <f t="shared" si="7"/>
        <v>1</v>
      </c>
    </row>
    <row r="116" spans="1:13" x14ac:dyDescent="0.25">
      <c r="A116" t="s">
        <v>230</v>
      </c>
      <c r="B116" s="102">
        <f>INDEX('Tax Expenditures'!B:B, MATCH(LEFT('Tableau - Rates'!A116, LEN(A116)-1), 'Tax Expenditures'!E:E, 0), 0)*1000000</f>
        <v>408900000</v>
      </c>
      <c r="C116" s="103" t="s">
        <v>134</v>
      </c>
      <c r="D116" s="103" t="s">
        <v>325</v>
      </c>
      <c r="E116" s="103"/>
      <c r="F116" s="103"/>
      <c r="G116" t="s">
        <v>143</v>
      </c>
      <c r="H116" t="s">
        <v>137</v>
      </c>
      <c r="J116" t="s">
        <v>148</v>
      </c>
      <c r="L116" t="s">
        <v>292</v>
      </c>
      <c r="M116">
        <f t="shared" si="7"/>
        <v>1</v>
      </c>
    </row>
    <row r="117" spans="1:13" x14ac:dyDescent="0.25">
      <c r="A117" s="103" t="s">
        <v>651</v>
      </c>
      <c r="B117" s="102">
        <f>INDEX('Tax Expenditures'!B:B, MATCH(LEFT('Tableau - Rates'!A117, LEN(A117)-1), 'Tax Expenditures'!E:E, 0), 0)*1000000</f>
        <v>10500000</v>
      </c>
      <c r="C117" s="103" t="s">
        <v>134</v>
      </c>
      <c r="D117" s="103" t="s">
        <v>652</v>
      </c>
      <c r="E117" s="103"/>
      <c r="F117" s="103"/>
      <c r="G117" s="103" t="s">
        <v>143</v>
      </c>
      <c r="H117" s="103" t="s">
        <v>137</v>
      </c>
      <c r="I117" s="103"/>
      <c r="J117" s="103" t="s">
        <v>649</v>
      </c>
      <c r="K117" s="103"/>
      <c r="L117" s="103" t="s">
        <v>292</v>
      </c>
      <c r="M117" s="103">
        <f t="shared" si="7"/>
        <v>1</v>
      </c>
    </row>
    <row r="118" spans="1:13" x14ac:dyDescent="0.25">
      <c r="A118" t="s">
        <v>231</v>
      </c>
      <c r="B118" s="102">
        <f>INDEX('Tax Expenditures'!B:B, MATCH(LEFT('Tableau - Rates'!A118, LEN(A118)-1), 'Tax Expenditures'!E:E, 0), 0)*1000000</f>
        <v>11700000</v>
      </c>
      <c r="C118" s="103" t="s">
        <v>134</v>
      </c>
      <c r="D118" s="103" t="s">
        <v>340</v>
      </c>
      <c r="E118" s="103"/>
      <c r="F118" s="103"/>
      <c r="G118" t="s">
        <v>143</v>
      </c>
      <c r="H118" t="s">
        <v>137</v>
      </c>
      <c r="J118" t="s">
        <v>155</v>
      </c>
      <c r="L118" t="s">
        <v>292</v>
      </c>
      <c r="M118">
        <f t="shared" si="7"/>
        <v>1</v>
      </c>
    </row>
    <row r="119" spans="1:13" x14ac:dyDescent="0.25">
      <c r="A119" t="s">
        <v>232</v>
      </c>
      <c r="B119" s="102">
        <f>INDEX('Tax Expenditures'!B:B, MATCH(LEFT('Tableau - Rates'!A119, LEN(A119)-1), 'Tax Expenditures'!E:E, 0), 0)*1000000</f>
        <v>139700000</v>
      </c>
      <c r="C119" s="103" t="s">
        <v>134</v>
      </c>
      <c r="D119" s="103" t="s">
        <v>322</v>
      </c>
      <c r="E119" s="103"/>
      <c r="F119" s="103"/>
      <c r="G119" t="s">
        <v>143</v>
      </c>
      <c r="H119" t="s">
        <v>137</v>
      </c>
      <c r="J119" t="s">
        <v>149</v>
      </c>
      <c r="L119" t="s">
        <v>292</v>
      </c>
      <c r="M119">
        <f t="shared" si="7"/>
        <v>1</v>
      </c>
    </row>
    <row r="120" spans="1:13" x14ac:dyDescent="0.25">
      <c r="A120" s="111" t="s">
        <v>670</v>
      </c>
      <c r="B120" s="136">
        <f>INDEX('Tax Expenditures'!B:B, MATCH(LEFT('Tableau - Rates'!A120, LEN(A120)-1), 'Tax Expenditures'!E:E, 0), 0)*1000000</f>
        <v>12300000</v>
      </c>
      <c r="C120" s="111" t="s">
        <v>134</v>
      </c>
      <c r="D120" s="111" t="s">
        <v>677</v>
      </c>
      <c r="E120" s="111"/>
      <c r="F120" s="111"/>
      <c r="G120" s="111" t="s">
        <v>143</v>
      </c>
      <c r="H120" s="111" t="s">
        <v>137</v>
      </c>
      <c r="I120" s="111"/>
      <c r="J120" s="111" t="s">
        <v>149</v>
      </c>
      <c r="K120" s="111"/>
      <c r="L120" s="111" t="s">
        <v>292</v>
      </c>
      <c r="M120" s="111">
        <f t="shared" si="7"/>
        <v>1</v>
      </c>
    </row>
    <row r="121" spans="1:13" x14ac:dyDescent="0.25">
      <c r="A121" t="s">
        <v>233</v>
      </c>
      <c r="B121" s="102">
        <f>INDEX('Tax Expenditures'!B:B, MATCH(LEFT('Tableau - Rates'!A121, LEN(A121)-1), 'Tax Expenditures'!E:E, 0), 0)*1000000</f>
        <v>83700000</v>
      </c>
      <c r="C121" s="103" t="s">
        <v>134</v>
      </c>
      <c r="D121" s="103" t="s">
        <v>323</v>
      </c>
      <c r="E121" s="103"/>
      <c r="F121" s="103"/>
      <c r="G121" t="s">
        <v>143</v>
      </c>
      <c r="H121" t="s">
        <v>137</v>
      </c>
      <c r="J121" t="s">
        <v>147</v>
      </c>
      <c r="L121" t="s">
        <v>292</v>
      </c>
      <c r="M121">
        <f t="shared" si="7"/>
        <v>1</v>
      </c>
    </row>
    <row r="122" spans="1:13" x14ac:dyDescent="0.25">
      <c r="A122" t="s">
        <v>640</v>
      </c>
      <c r="B122" s="102">
        <f>INDEX('Tax Expenditures'!B:B, MATCH(LEFT('Tableau - Rates'!A122, LEN(A122)-1), 'Tax Expenditures'!E:E, 0), 0)*1000000</f>
        <v>12200000</v>
      </c>
      <c r="C122" s="103" t="s">
        <v>134</v>
      </c>
      <c r="D122" s="103" t="s">
        <v>630</v>
      </c>
      <c r="E122" s="103"/>
      <c r="F122" s="103"/>
      <c r="G122" t="s">
        <v>143</v>
      </c>
      <c r="H122" t="s">
        <v>137</v>
      </c>
      <c r="J122" t="s">
        <v>147</v>
      </c>
      <c r="L122" t="s">
        <v>292</v>
      </c>
      <c r="M122">
        <f t="shared" si="7"/>
        <v>1</v>
      </c>
    </row>
    <row r="123" spans="1:13" x14ac:dyDescent="0.25">
      <c r="A123" t="s">
        <v>234</v>
      </c>
      <c r="B123" s="102">
        <f>INDEX('Tax Expenditures'!B:B, MATCH(LEFT('Tableau - Rates'!A123, LEN(A123)-1), 'Tax Expenditures'!E:E, 0), 0)*1000000</f>
        <v>14100000</v>
      </c>
      <c r="C123" s="103" t="s">
        <v>134</v>
      </c>
      <c r="D123" s="103" t="s">
        <v>324</v>
      </c>
      <c r="E123" s="103"/>
      <c r="F123" s="103"/>
      <c r="G123" t="s">
        <v>143</v>
      </c>
      <c r="H123" t="s">
        <v>137</v>
      </c>
      <c r="J123" t="s">
        <v>156</v>
      </c>
      <c r="L123" t="s">
        <v>292</v>
      </c>
      <c r="M123">
        <f t="shared" si="7"/>
        <v>1</v>
      </c>
    </row>
    <row r="124" spans="1:13" x14ac:dyDescent="0.25">
      <c r="A124" t="s">
        <v>235</v>
      </c>
      <c r="B124" s="102">
        <f>INDEX('Tax Expenditures'!B:B, MATCH(LEFT('Tableau - Rates'!A124, LEN(A124)-1), 'Tax Expenditures'!E:E, 0), 0)*1000000</f>
        <v>351000000</v>
      </c>
      <c r="C124" s="103" t="s">
        <v>134</v>
      </c>
      <c r="D124" s="103" t="s">
        <v>310</v>
      </c>
      <c r="E124" s="103"/>
      <c r="F124" s="103"/>
      <c r="G124" t="s">
        <v>143</v>
      </c>
      <c r="H124" t="s">
        <v>137</v>
      </c>
      <c r="J124" t="s">
        <v>157</v>
      </c>
      <c r="L124" t="s">
        <v>292</v>
      </c>
      <c r="M124">
        <f t="shared" si="7"/>
        <v>1</v>
      </c>
    </row>
    <row r="125" spans="1:13" x14ac:dyDescent="0.25">
      <c r="A125" t="s">
        <v>236</v>
      </c>
      <c r="B125" s="102">
        <f>INDEX('Tax Expenditures'!B:B, MATCH(LEFT('Tableau - Rates'!A125, LEN(A125)-1), 'Tax Expenditures'!E:E, 0), 0)*1000000</f>
        <v>16700000</v>
      </c>
      <c r="C125" s="103" t="s">
        <v>134</v>
      </c>
      <c r="D125" s="103" t="s">
        <v>308</v>
      </c>
      <c r="E125" s="103"/>
      <c r="F125" s="103"/>
      <c r="G125" t="s">
        <v>143</v>
      </c>
      <c r="H125" t="s">
        <v>137</v>
      </c>
      <c r="J125" t="s">
        <v>158</v>
      </c>
      <c r="L125" t="s">
        <v>292</v>
      </c>
      <c r="M125">
        <f t="shared" si="7"/>
        <v>1</v>
      </c>
    </row>
    <row r="126" spans="1:13" x14ac:dyDescent="0.25">
      <c r="A126" t="s">
        <v>237</v>
      </c>
      <c r="B126" s="102">
        <f>INDEX('Tax Expenditures'!B:B, MATCH(LEFT('Tableau - Rates'!A126, LEN(A126)-1), 'Tax Expenditures'!E:E, 0), 0)*1000000</f>
        <v>63200000</v>
      </c>
      <c r="C126" s="103" t="s">
        <v>134</v>
      </c>
      <c r="D126" s="103" t="s">
        <v>334</v>
      </c>
      <c r="E126" s="103"/>
      <c r="F126" s="103"/>
      <c r="G126" t="s">
        <v>143</v>
      </c>
      <c r="H126" t="s">
        <v>137</v>
      </c>
      <c r="J126" t="s">
        <v>151</v>
      </c>
      <c r="L126" t="s">
        <v>292</v>
      </c>
      <c r="M126">
        <f t="shared" si="7"/>
        <v>1</v>
      </c>
    </row>
    <row r="127" spans="1:13" x14ac:dyDescent="0.25">
      <c r="A127" t="s">
        <v>238</v>
      </c>
      <c r="B127" s="102">
        <f>INDEX('Tax Expenditures'!B:B, MATCH(LEFT('Tableau - Rates'!A127, LEN(A127)-1), 'Tax Expenditures'!E:E, 0), 0)*1000000</f>
        <v>423800000</v>
      </c>
      <c r="C127" s="103" t="s">
        <v>134</v>
      </c>
      <c r="D127" s="103" t="s">
        <v>332</v>
      </c>
      <c r="E127" s="103"/>
      <c r="F127" s="103"/>
      <c r="G127" t="s">
        <v>143</v>
      </c>
      <c r="H127" t="s">
        <v>137</v>
      </c>
      <c r="J127" t="s">
        <v>151</v>
      </c>
      <c r="L127" t="s">
        <v>292</v>
      </c>
      <c r="M127">
        <f t="shared" si="7"/>
        <v>1</v>
      </c>
    </row>
    <row r="128" spans="1:13" x14ac:dyDescent="0.25">
      <c r="A128" t="s">
        <v>239</v>
      </c>
      <c r="B128" s="102">
        <f>INDEX('Tax Expenditures'!B:B, MATCH(LEFT('Tableau - Rates'!A128, LEN(A128)-1), 'Tax Expenditures'!E:E, 0), 0)*1000000</f>
        <v>12700000</v>
      </c>
      <c r="C128" s="103" t="s">
        <v>134</v>
      </c>
      <c r="D128" s="103" t="s">
        <v>306</v>
      </c>
      <c r="E128" s="103"/>
      <c r="F128" s="103"/>
      <c r="G128" t="s">
        <v>143</v>
      </c>
      <c r="H128" t="s">
        <v>137</v>
      </c>
      <c r="J128" t="s">
        <v>151</v>
      </c>
      <c r="L128" t="s">
        <v>292</v>
      </c>
      <c r="M128">
        <f t="shared" si="7"/>
        <v>1</v>
      </c>
    </row>
    <row r="129" spans="1:13" x14ac:dyDescent="0.25">
      <c r="A129" t="s">
        <v>240</v>
      </c>
      <c r="B129" s="102">
        <f>INDEX('Tax Expenditures'!B:B, MATCH(LEFT('Tableau - Rates'!A129, LEN(A129)-1), 'Tax Expenditures'!E:E, 0), 0)*1000000</f>
        <v>23700000</v>
      </c>
      <c r="C129" s="103" t="s">
        <v>134</v>
      </c>
      <c r="D129" s="103" t="s">
        <v>305</v>
      </c>
      <c r="E129" s="103"/>
      <c r="F129" s="103"/>
      <c r="G129" t="s">
        <v>143</v>
      </c>
      <c r="H129" t="s">
        <v>137</v>
      </c>
      <c r="J129" t="s">
        <v>157</v>
      </c>
      <c r="L129" t="s">
        <v>292</v>
      </c>
      <c r="M129">
        <f t="shared" si="7"/>
        <v>1</v>
      </c>
    </row>
    <row r="130" spans="1:13" x14ac:dyDescent="0.25">
      <c r="A130" t="s">
        <v>241</v>
      </c>
      <c r="B130" s="102">
        <f>INDEX('Tax Expenditures'!B:B, MATCH(LEFT('Tableau - Rates'!A130, LEN(A130)-1), 'Tax Expenditures'!E:E, 0), 0)*1000000</f>
        <v>1446800000</v>
      </c>
      <c r="C130" s="103" t="s">
        <v>134</v>
      </c>
      <c r="D130" s="103" t="s">
        <v>338</v>
      </c>
      <c r="E130" s="103"/>
      <c r="F130" s="103"/>
      <c r="G130" t="s">
        <v>143</v>
      </c>
      <c r="H130" t="s">
        <v>137</v>
      </c>
      <c r="J130" t="s">
        <v>159</v>
      </c>
      <c r="L130" t="s">
        <v>292</v>
      </c>
      <c r="M130">
        <f t="shared" si="7"/>
        <v>1</v>
      </c>
    </row>
    <row r="131" spans="1:13" x14ac:dyDescent="0.25">
      <c r="A131" t="s">
        <v>242</v>
      </c>
      <c r="B131" s="102">
        <f>INDEX('Tax Expenditures'!B:B, MATCH(LEFT('Tableau - Rates'!A131, LEN(A131)-1), 'Tax Expenditures'!E:E, 0), 0)*1000000</f>
        <v>161400000</v>
      </c>
      <c r="C131" s="103" t="s">
        <v>134</v>
      </c>
      <c r="D131" s="103" t="s">
        <v>339</v>
      </c>
      <c r="E131" s="103"/>
      <c r="F131" s="103"/>
      <c r="G131" t="s">
        <v>143</v>
      </c>
      <c r="H131" t="s">
        <v>137</v>
      </c>
      <c r="J131" t="s">
        <v>147</v>
      </c>
      <c r="L131" t="s">
        <v>292</v>
      </c>
      <c r="M131">
        <f t="shared" si="7"/>
        <v>1</v>
      </c>
    </row>
    <row r="132" spans="1:13" x14ac:dyDescent="0.25">
      <c r="A132" t="s">
        <v>243</v>
      </c>
      <c r="B132" s="102">
        <f>INDEX('Tax Expenditures'!B:B, MATCH(LEFT('Tableau - Rates'!A132, LEN(A132)-1), 'Tax Expenditures'!E:E, 0), 0)*1000000</f>
        <v>130199999.99999999</v>
      </c>
      <c r="C132" s="103" t="s">
        <v>134</v>
      </c>
      <c r="D132" s="103" t="s">
        <v>326</v>
      </c>
      <c r="E132" s="103"/>
      <c r="F132" s="103"/>
      <c r="G132" t="s">
        <v>143</v>
      </c>
      <c r="H132" t="s">
        <v>137</v>
      </c>
      <c r="J132" t="s">
        <v>147</v>
      </c>
      <c r="L132" t="s">
        <v>292</v>
      </c>
      <c r="M132">
        <f t="shared" si="7"/>
        <v>1</v>
      </c>
    </row>
    <row r="133" spans="1:13" x14ac:dyDescent="0.25">
      <c r="A133" t="s">
        <v>244</v>
      </c>
      <c r="B133" s="102">
        <f>INDEX('Tax Expenditures'!B:B, MATCH(LEFT('Tableau - Rates'!A133, LEN(A133)-1), 'Tax Expenditures'!E:E, 0), 0)*1000000</f>
        <v>66000000</v>
      </c>
      <c r="C133" s="103" t="s">
        <v>134</v>
      </c>
      <c r="D133" s="103" t="s">
        <v>342</v>
      </c>
      <c r="E133" s="103"/>
      <c r="F133" s="103"/>
      <c r="G133" t="s">
        <v>143</v>
      </c>
      <c r="H133" t="s">
        <v>137</v>
      </c>
      <c r="J133" t="s">
        <v>147</v>
      </c>
      <c r="L133" t="s">
        <v>292</v>
      </c>
      <c r="M133">
        <f t="shared" si="7"/>
        <v>1</v>
      </c>
    </row>
    <row r="134" spans="1:13" x14ac:dyDescent="0.25">
      <c r="A134" s="111" t="s">
        <v>673</v>
      </c>
      <c r="B134" s="136">
        <f>INDEX('Tax Expenditures'!B:B, MATCH(LEFT('Tableau - Rates'!A134, LEN(A134)-1), 'Tax Expenditures'!E:E, 0), 0)*1000000</f>
        <v>11400000</v>
      </c>
      <c r="C134" s="111" t="s">
        <v>134</v>
      </c>
      <c r="D134" s="111" t="s">
        <v>665</v>
      </c>
      <c r="E134" s="111"/>
      <c r="F134" s="111"/>
      <c r="G134" s="111" t="s">
        <v>143</v>
      </c>
      <c r="H134" s="111" t="s">
        <v>137</v>
      </c>
      <c r="I134" s="111"/>
      <c r="J134" s="111" t="s">
        <v>147</v>
      </c>
      <c r="K134" s="111"/>
      <c r="L134" s="111" t="s">
        <v>292</v>
      </c>
      <c r="M134" s="111">
        <f t="shared" si="7"/>
        <v>1</v>
      </c>
    </row>
    <row r="135" spans="1:13" x14ac:dyDescent="0.25">
      <c r="A135" s="111" t="s">
        <v>674</v>
      </c>
      <c r="B135" s="136">
        <f>INDEX('Tax Expenditures'!B:B, MATCH(LEFT('Tableau - Rates'!A135, LEN(A135)-1), 'Tax Expenditures'!E:E, 0), 0)*1000000</f>
        <v>10000000</v>
      </c>
      <c r="C135" s="111" t="s">
        <v>134</v>
      </c>
      <c r="D135" s="111" t="s">
        <v>314</v>
      </c>
      <c r="E135" s="111"/>
      <c r="F135" s="111"/>
      <c r="G135" s="111" t="s">
        <v>143</v>
      </c>
      <c r="H135" s="111" t="s">
        <v>137</v>
      </c>
      <c r="I135" s="111"/>
      <c r="J135" s="111" t="s">
        <v>160</v>
      </c>
      <c r="K135" s="111"/>
      <c r="L135" s="111" t="s">
        <v>292</v>
      </c>
      <c r="M135" s="111">
        <f t="shared" si="7"/>
        <v>1</v>
      </c>
    </row>
    <row r="136" spans="1:13" x14ac:dyDescent="0.25">
      <c r="A136" t="s">
        <v>245</v>
      </c>
      <c r="B136" s="102">
        <f>INDEX('Tax Expenditures'!B:B, MATCH(LEFT('Tableau - Rates'!A136, LEN(A136)-1), 'Tax Expenditures'!E:E, 0), 0)*1000000</f>
        <v>87800000</v>
      </c>
      <c r="C136" s="103" t="s">
        <v>134</v>
      </c>
      <c r="D136" s="103" t="s">
        <v>71</v>
      </c>
      <c r="E136" s="103"/>
      <c r="F136" s="103"/>
      <c r="G136" t="s">
        <v>143</v>
      </c>
      <c r="H136" t="s">
        <v>137</v>
      </c>
      <c r="J136" t="s">
        <v>150</v>
      </c>
      <c r="L136" t="s">
        <v>1</v>
      </c>
      <c r="M136">
        <f t="shared" si="7"/>
        <v>1</v>
      </c>
    </row>
    <row r="137" spans="1:13" x14ac:dyDescent="0.25">
      <c r="A137" t="s">
        <v>246</v>
      </c>
      <c r="B137" s="102">
        <f>INDEX('Tax Expenditures'!B:B, MATCH(LEFT('Tableau - Rates'!A137, LEN(A137)-1), 'Tax Expenditures'!E:E, 0), 0)*1000000</f>
        <v>700000</v>
      </c>
      <c r="C137" s="103" t="s">
        <v>134</v>
      </c>
      <c r="D137" s="103" t="s">
        <v>328</v>
      </c>
      <c r="E137" s="103"/>
      <c r="F137" s="103"/>
      <c r="G137" t="s">
        <v>143</v>
      </c>
      <c r="H137" t="s">
        <v>137</v>
      </c>
      <c r="J137" t="s">
        <v>150</v>
      </c>
      <c r="L137" t="s">
        <v>1</v>
      </c>
      <c r="M137">
        <f t="shared" si="7"/>
        <v>1</v>
      </c>
    </row>
    <row r="138" spans="1:13" x14ac:dyDescent="0.25">
      <c r="A138" t="s">
        <v>247</v>
      </c>
      <c r="B138" s="102">
        <f>INDEX('Tax Expenditures'!B:B, MATCH(LEFT('Tableau - Rates'!A138, LEN(A138)-1), 'Tax Expenditures'!E:E, 0), 0)*1000000</f>
        <v>40000000</v>
      </c>
      <c r="C138" s="103" t="s">
        <v>134</v>
      </c>
      <c r="D138" s="103" t="s">
        <v>304</v>
      </c>
      <c r="E138" s="103"/>
      <c r="F138" s="103"/>
      <c r="G138" t="s">
        <v>143</v>
      </c>
      <c r="H138" t="s">
        <v>137</v>
      </c>
      <c r="J138" t="s">
        <v>151</v>
      </c>
      <c r="L138" t="s">
        <v>1</v>
      </c>
      <c r="M138">
        <f t="shared" si="7"/>
        <v>1</v>
      </c>
    </row>
    <row r="139" spans="1:13" x14ac:dyDescent="0.25">
      <c r="A139" t="s">
        <v>248</v>
      </c>
      <c r="B139" s="102">
        <f>INDEX('Tax Expenditures'!B:B, MATCH(LEFT('Tableau - Rates'!A139, LEN(A139)-1), 'Tax Expenditures'!E:E, 0), 0)*1000000</f>
        <v>100000</v>
      </c>
      <c r="C139" s="103" t="s">
        <v>134</v>
      </c>
      <c r="D139" s="103" t="s">
        <v>307</v>
      </c>
      <c r="E139" s="103"/>
      <c r="F139" s="103"/>
      <c r="G139" t="s">
        <v>143</v>
      </c>
      <c r="H139" t="s">
        <v>137</v>
      </c>
      <c r="J139" t="s">
        <v>147</v>
      </c>
      <c r="L139" t="s">
        <v>1</v>
      </c>
      <c r="M139">
        <f t="shared" si="7"/>
        <v>1</v>
      </c>
    </row>
    <row r="140" spans="1:13" x14ac:dyDescent="0.25">
      <c r="A140" t="s">
        <v>249</v>
      </c>
      <c r="B140" s="102">
        <f>INDEX('Tax Expenditures'!B:B, MATCH(LEFT('Tableau - Rates'!A140, LEN(A140)-1), 'Tax Expenditures'!E:E, 0), 0)*1000000</f>
        <v>11400000</v>
      </c>
      <c r="C140" s="103" t="s">
        <v>134</v>
      </c>
      <c r="D140" s="103" t="s">
        <v>313</v>
      </c>
      <c r="E140" s="103"/>
      <c r="F140" s="103"/>
      <c r="G140" t="s">
        <v>143</v>
      </c>
      <c r="H140" t="s">
        <v>137</v>
      </c>
      <c r="J140" t="s">
        <v>146</v>
      </c>
      <c r="L140" t="s">
        <v>1</v>
      </c>
      <c r="M140">
        <f t="shared" si="7"/>
        <v>1</v>
      </c>
    </row>
    <row r="141" spans="1:13" x14ac:dyDescent="0.25">
      <c r="A141" t="s">
        <v>250</v>
      </c>
      <c r="B141" s="102">
        <f>INDEX('Tax Expenditures'!B:B, MATCH(LEFT('Tableau - Rates'!A141, LEN(A141)-1), 'Tax Expenditures'!E:E, 0), 0)*1000000</f>
        <v>30000000</v>
      </c>
      <c r="C141" s="103" t="s">
        <v>134</v>
      </c>
      <c r="D141" s="103" t="s">
        <v>314</v>
      </c>
      <c r="E141" s="103"/>
      <c r="F141" s="103"/>
      <c r="G141" t="s">
        <v>143</v>
      </c>
      <c r="H141" t="s">
        <v>137</v>
      </c>
      <c r="J141" t="s">
        <v>160</v>
      </c>
      <c r="L141" t="s">
        <v>1</v>
      </c>
      <c r="M141">
        <f t="shared" si="7"/>
        <v>1</v>
      </c>
    </row>
    <row r="142" spans="1:13" x14ac:dyDescent="0.25">
      <c r="A142" t="s">
        <v>251</v>
      </c>
      <c r="B142" s="102">
        <f>INDEX('Tax Expenditures'!B:B, MATCH(LEFT('Tableau - Rates'!A142, LEN(A142)-1), 'Tax Expenditures'!E:E, 0), 0)*1000000</f>
        <v>10000000</v>
      </c>
      <c r="C142" s="103" t="s">
        <v>134</v>
      </c>
      <c r="D142" s="103" t="s">
        <v>315</v>
      </c>
      <c r="E142" s="103"/>
      <c r="F142" s="103"/>
      <c r="G142" t="s">
        <v>143</v>
      </c>
      <c r="H142" t="s">
        <v>137</v>
      </c>
      <c r="J142" t="s">
        <v>160</v>
      </c>
      <c r="L142" t="s">
        <v>1</v>
      </c>
      <c r="M142">
        <f t="shared" si="7"/>
        <v>1</v>
      </c>
    </row>
    <row r="143" spans="1:13" x14ac:dyDescent="0.25">
      <c r="A143" t="s">
        <v>252</v>
      </c>
      <c r="B143" s="102">
        <f>INDEX('Tax Expenditures'!B:B, MATCH(LEFT('Tableau - Rates'!A143, LEN(A143)-1), 'Tax Expenditures'!E:E, 0), 0)*1000000</f>
        <v>40000000</v>
      </c>
      <c r="C143" s="103" t="s">
        <v>134</v>
      </c>
      <c r="D143" s="103" t="s">
        <v>316</v>
      </c>
      <c r="E143" s="103"/>
      <c r="F143" s="103"/>
      <c r="G143" t="s">
        <v>143</v>
      </c>
      <c r="H143" t="s">
        <v>137</v>
      </c>
      <c r="J143" t="s">
        <v>161</v>
      </c>
      <c r="L143" t="s">
        <v>1</v>
      </c>
      <c r="M143">
        <f t="shared" si="7"/>
        <v>1</v>
      </c>
    </row>
    <row r="144" spans="1:13" x14ac:dyDescent="0.25">
      <c r="A144" t="s">
        <v>253</v>
      </c>
      <c r="B144" s="102">
        <f>INDEX('Tax Expenditures'!B:B, MATCH(LEFT('Tableau - Rates'!A144, LEN(A144)-1), 'Tax Expenditures'!E:E, 0), 0)*1000000</f>
        <v>1300000</v>
      </c>
      <c r="C144" s="103" t="s">
        <v>134</v>
      </c>
      <c r="D144" s="101" t="s">
        <v>349</v>
      </c>
      <c r="E144" s="103"/>
      <c r="F144" s="103"/>
      <c r="G144" t="s">
        <v>143</v>
      </c>
      <c r="H144" t="s">
        <v>137</v>
      </c>
      <c r="J144" t="s">
        <v>160</v>
      </c>
      <c r="L144" t="s">
        <v>1</v>
      </c>
      <c r="M144">
        <f t="shared" si="7"/>
        <v>1</v>
      </c>
    </row>
    <row r="145" spans="1:13" x14ac:dyDescent="0.25">
      <c r="A145" t="s">
        <v>254</v>
      </c>
      <c r="B145" s="102">
        <f>INDEX('Tax Expenditures'!B:B, MATCH(LEFT('Tableau - Rates'!A145, LEN(A145)-1), 'Tax Expenditures'!E:E, 0), 0)*1000000</f>
        <v>2500000</v>
      </c>
      <c r="C145" s="103" t="s">
        <v>134</v>
      </c>
      <c r="D145" s="103" t="s">
        <v>317</v>
      </c>
      <c r="E145" s="103"/>
      <c r="F145" s="103"/>
      <c r="G145" t="s">
        <v>143</v>
      </c>
      <c r="H145" t="s">
        <v>137</v>
      </c>
      <c r="J145" t="s">
        <v>160</v>
      </c>
      <c r="L145" t="s">
        <v>1</v>
      </c>
      <c r="M145">
        <f t="shared" ref="M145:M173" si="8">COUNTIF(A:A, A145)</f>
        <v>1</v>
      </c>
    </row>
    <row r="146" spans="1:13" x14ac:dyDescent="0.25">
      <c r="A146" t="s">
        <v>638</v>
      </c>
      <c r="B146" s="102">
        <f>INDEX('Tax Expenditures'!B:B, MATCH(LEFT('Tableau - Rates'!A146, LEN(A146)-1), 'Tax Expenditures'!E:E, 0), 0)*1000000</f>
        <v>700000</v>
      </c>
      <c r="C146" s="103" t="s">
        <v>134</v>
      </c>
      <c r="D146" t="s">
        <v>637</v>
      </c>
      <c r="E146" s="103"/>
      <c r="F146" s="103"/>
      <c r="G146" t="s">
        <v>143</v>
      </c>
      <c r="H146" t="s">
        <v>137</v>
      </c>
      <c r="J146" t="s">
        <v>147</v>
      </c>
      <c r="L146" t="s">
        <v>1</v>
      </c>
      <c r="M146">
        <f t="shared" si="8"/>
        <v>1</v>
      </c>
    </row>
    <row r="147" spans="1:13" x14ac:dyDescent="0.25">
      <c r="A147" t="s">
        <v>255</v>
      </c>
      <c r="B147" s="102">
        <f>INDEX('Tax Expenditures'!B:B, MATCH(LEFT('Tableau - Rates'!A147, LEN(A147)-1), 'Tax Expenditures'!E:E, 0), 0)*1000000</f>
        <v>800000</v>
      </c>
      <c r="C147" s="103" t="s">
        <v>134</v>
      </c>
      <c r="D147" s="103" t="s">
        <v>321</v>
      </c>
      <c r="E147" s="103"/>
      <c r="F147" s="103"/>
      <c r="G147" t="s">
        <v>143</v>
      </c>
      <c r="H147" t="s">
        <v>137</v>
      </c>
      <c r="J147" t="s">
        <v>162</v>
      </c>
      <c r="L147" t="s">
        <v>1</v>
      </c>
      <c r="M147">
        <f t="shared" si="8"/>
        <v>1</v>
      </c>
    </row>
    <row r="148" spans="1:13" x14ac:dyDescent="0.25">
      <c r="A148" t="s">
        <v>256</v>
      </c>
      <c r="B148" s="102">
        <f>INDEX('Tax Expenditures'!B:B, MATCH(LEFT('Tableau - Rates'!A148, LEN(A148)-1), 'Tax Expenditures'!E:E, 0), 0)*1000000</f>
        <v>1600000</v>
      </c>
      <c r="C148" s="103" t="s">
        <v>134</v>
      </c>
      <c r="D148" s="103" t="s">
        <v>327</v>
      </c>
      <c r="E148" s="103"/>
      <c r="F148" s="103"/>
      <c r="G148" t="s">
        <v>143</v>
      </c>
      <c r="H148" t="s">
        <v>137</v>
      </c>
      <c r="J148" t="s">
        <v>162</v>
      </c>
      <c r="L148" t="s">
        <v>1</v>
      </c>
      <c r="M148">
        <f t="shared" si="8"/>
        <v>1</v>
      </c>
    </row>
    <row r="149" spans="1:13" x14ac:dyDescent="0.25">
      <c r="A149" t="s">
        <v>257</v>
      </c>
      <c r="B149" s="102">
        <f>INDEX('Tax Expenditures'!B:B, MATCH(LEFT('Tableau - Rates'!A149, LEN(A149)-1), 'Tax Expenditures'!E:E, 0), 0)*1000000</f>
        <v>13500000</v>
      </c>
      <c r="C149" s="103" t="s">
        <v>134</v>
      </c>
      <c r="D149" s="103" t="s">
        <v>626</v>
      </c>
      <c r="E149" s="103"/>
      <c r="F149" s="103"/>
      <c r="G149" t="s">
        <v>143</v>
      </c>
      <c r="H149" t="s">
        <v>137</v>
      </c>
      <c r="J149" t="s">
        <v>147</v>
      </c>
      <c r="L149" t="s">
        <v>1</v>
      </c>
      <c r="M149">
        <f t="shared" si="8"/>
        <v>1</v>
      </c>
    </row>
    <row r="150" spans="1:13" x14ac:dyDescent="0.25">
      <c r="A150" t="s">
        <v>258</v>
      </c>
      <c r="B150" s="102">
        <f>INDEX('Tax Expenditures'!B:B, MATCH(LEFT('Tableau - Rates'!A150, LEN(A150)-1), 'Tax Expenditures'!E:E, 0), 0)*1000000</f>
        <v>33000000</v>
      </c>
      <c r="C150" s="103" t="s">
        <v>134</v>
      </c>
      <c r="D150" s="103" t="s">
        <v>335</v>
      </c>
      <c r="E150" s="103"/>
      <c r="F150" s="103"/>
      <c r="G150" t="s">
        <v>143</v>
      </c>
      <c r="H150" t="s">
        <v>137</v>
      </c>
      <c r="J150" t="s">
        <v>147</v>
      </c>
      <c r="L150" t="s">
        <v>1</v>
      </c>
      <c r="M150">
        <f t="shared" si="8"/>
        <v>1</v>
      </c>
    </row>
    <row r="151" spans="1:13" x14ac:dyDescent="0.25">
      <c r="A151" t="s">
        <v>259</v>
      </c>
      <c r="B151" s="102">
        <f>INDEX('Tax Expenditures'!B:B, MATCH(LEFT('Tableau - Rates'!A151, LEN(A151)-1), 'Tax Expenditures'!E:E, 0), 0)*1000000</f>
        <v>6600000</v>
      </c>
      <c r="C151" s="103" t="s">
        <v>134</v>
      </c>
      <c r="D151" s="103" t="s">
        <v>336</v>
      </c>
      <c r="E151" s="103"/>
      <c r="F151" s="103"/>
      <c r="G151" t="s">
        <v>143</v>
      </c>
      <c r="H151" t="s">
        <v>137</v>
      </c>
      <c r="J151" t="s">
        <v>151</v>
      </c>
      <c r="L151" t="s">
        <v>1</v>
      </c>
      <c r="M151">
        <f t="shared" si="8"/>
        <v>1</v>
      </c>
    </row>
    <row r="152" spans="1:13" x14ac:dyDescent="0.25">
      <c r="A152" t="s">
        <v>260</v>
      </c>
      <c r="B152" s="102">
        <f>INDEX('Tax Expenditures'!B:B, MATCH(LEFT('Tableau - Rates'!A152, LEN(A152)-1), 'Tax Expenditures'!E:E, 0), 0)*1000000</f>
        <v>3700000</v>
      </c>
      <c r="C152" s="103" t="s">
        <v>134</v>
      </c>
      <c r="D152" s="103" t="s">
        <v>343</v>
      </c>
      <c r="E152" s="103"/>
      <c r="F152" s="103"/>
      <c r="G152" t="s">
        <v>143</v>
      </c>
      <c r="H152" t="s">
        <v>137</v>
      </c>
      <c r="J152" t="s">
        <v>160</v>
      </c>
      <c r="L152" t="s">
        <v>1</v>
      </c>
      <c r="M152">
        <f t="shared" si="8"/>
        <v>1</v>
      </c>
    </row>
    <row r="153" spans="1:13" x14ac:dyDescent="0.25">
      <c r="A153" t="s">
        <v>261</v>
      </c>
      <c r="B153" s="102">
        <f>INDEX('Tax Expenditures'!B:B, MATCH(LEFT('Tableau - Rates'!A153, LEN(A153)-1), 'Tax Expenditures'!E:E, 0), 0)*1000000</f>
        <v>600000</v>
      </c>
      <c r="C153" s="103" t="s">
        <v>134</v>
      </c>
      <c r="D153" s="103" t="s">
        <v>330</v>
      </c>
      <c r="E153" s="103"/>
      <c r="F153" s="103"/>
      <c r="G153" t="s">
        <v>143</v>
      </c>
      <c r="H153" t="s">
        <v>137</v>
      </c>
      <c r="J153" t="s">
        <v>151</v>
      </c>
      <c r="L153" t="s">
        <v>281</v>
      </c>
      <c r="M153">
        <f t="shared" si="8"/>
        <v>1</v>
      </c>
    </row>
    <row r="154" spans="1:13" x14ac:dyDescent="0.25">
      <c r="A154" t="s">
        <v>262</v>
      </c>
      <c r="B154" s="102">
        <f>INDEX('Tax Expenditures'!B:B, MATCH(LEFT('Tableau - Rates'!A154, LEN(A154)-1), 'Tax Expenditures'!E:E, 0), 0)*1000000</f>
        <v>15000000</v>
      </c>
      <c r="C154" s="103" t="s">
        <v>134</v>
      </c>
      <c r="D154" s="103" t="s">
        <v>341</v>
      </c>
      <c r="E154" s="103"/>
      <c r="F154" s="103"/>
      <c r="G154" t="s">
        <v>143</v>
      </c>
      <c r="H154" t="s">
        <v>137</v>
      </c>
      <c r="J154" t="s">
        <v>150</v>
      </c>
      <c r="L154" t="s">
        <v>281</v>
      </c>
      <c r="M154">
        <f t="shared" si="8"/>
        <v>1</v>
      </c>
    </row>
    <row r="155" spans="1:13" x14ac:dyDescent="0.25">
      <c r="A155" s="111" t="s">
        <v>676</v>
      </c>
      <c r="B155" s="136">
        <f>INDEX('Tax Expenditures'!B:B, MATCH(LEFT('Tableau - Rates'!A155, LEN(A155)-1), 'Tax Expenditures'!E:E, 0), 0)*1000000</f>
        <v>26000000</v>
      </c>
      <c r="C155" s="111" t="s">
        <v>134</v>
      </c>
      <c r="D155" s="111" t="s">
        <v>678</v>
      </c>
      <c r="E155" s="111"/>
      <c r="F155" s="111"/>
      <c r="G155" s="111" t="s">
        <v>143</v>
      </c>
      <c r="H155" s="111" t="s">
        <v>137</v>
      </c>
      <c r="I155" s="111"/>
      <c r="J155" s="111" t="s">
        <v>666</v>
      </c>
      <c r="K155" s="111"/>
      <c r="L155" s="111" t="s">
        <v>281</v>
      </c>
      <c r="M155" s="111">
        <f t="shared" si="8"/>
        <v>1</v>
      </c>
    </row>
    <row r="156" spans="1:13" x14ac:dyDescent="0.25">
      <c r="A156" t="s">
        <v>263</v>
      </c>
      <c r="B156" s="102">
        <f>INDEX('Tax Expenditures'!B:B, MATCH(LEFT('Tableau - Rates'!A156, LEN(A156)-1), 'Tax Expenditures'!E:E, 0), 0)*1000000</f>
        <v>700000</v>
      </c>
      <c r="C156" s="103" t="s">
        <v>134</v>
      </c>
      <c r="D156" s="103" t="s">
        <v>318</v>
      </c>
      <c r="E156" s="103"/>
      <c r="F156" s="103"/>
      <c r="G156" t="s">
        <v>143</v>
      </c>
      <c r="H156" t="s">
        <v>137</v>
      </c>
      <c r="J156" t="s">
        <v>158</v>
      </c>
      <c r="L156" t="s">
        <v>281</v>
      </c>
      <c r="M156">
        <f t="shared" si="8"/>
        <v>1</v>
      </c>
    </row>
    <row r="157" spans="1:13" x14ac:dyDescent="0.25">
      <c r="A157" t="s">
        <v>264</v>
      </c>
      <c r="B157" s="102">
        <f>INDEX('Tax Expenditures'!B:B, MATCH(LEFT('Tableau - Rates'!A157, LEN(A157)-1), 'Tax Expenditures'!E:E, 0), 0)*1000000</f>
        <v>1000000</v>
      </c>
      <c r="C157" s="103" t="s">
        <v>134</v>
      </c>
      <c r="D157" s="103" t="s">
        <v>327</v>
      </c>
      <c r="E157" s="103"/>
      <c r="F157" s="103"/>
      <c r="G157" t="s">
        <v>143</v>
      </c>
      <c r="H157" t="s">
        <v>137</v>
      </c>
      <c r="J157" t="s">
        <v>162</v>
      </c>
      <c r="L157" t="s">
        <v>281</v>
      </c>
      <c r="M157">
        <f t="shared" si="8"/>
        <v>1</v>
      </c>
    </row>
    <row r="158" spans="1:13" x14ac:dyDescent="0.25">
      <c r="A158" t="s">
        <v>265</v>
      </c>
      <c r="B158" s="102">
        <f>INDEX('Tax Expenditures'!B:B, MATCH(LEFT('Tableau - Rates'!A158, LEN(A158)-1), 'Tax Expenditures'!E:E, 0), 0)*1000000</f>
        <v>35000000</v>
      </c>
      <c r="C158" s="103" t="s">
        <v>134</v>
      </c>
      <c r="D158" s="103" t="s">
        <v>319</v>
      </c>
      <c r="E158" s="103"/>
      <c r="F158" s="103"/>
      <c r="G158" t="s">
        <v>143</v>
      </c>
      <c r="H158" t="s">
        <v>137</v>
      </c>
      <c r="J158" t="s">
        <v>158</v>
      </c>
      <c r="L158" t="s">
        <v>281</v>
      </c>
      <c r="M158">
        <f t="shared" si="8"/>
        <v>1</v>
      </c>
    </row>
    <row r="159" spans="1:13" x14ac:dyDescent="0.25">
      <c r="A159" t="s">
        <v>266</v>
      </c>
      <c r="B159" s="102">
        <f>INDEX('Tax Expenditures'!B:B, MATCH(LEFT('Tableau - Rates'!A159, LEN(A159)-1), 'Tax Expenditures'!E:E, 0), 0)*1000000</f>
        <v>18000000</v>
      </c>
      <c r="C159" s="103" t="s">
        <v>134</v>
      </c>
      <c r="D159" s="103" t="s">
        <v>313</v>
      </c>
      <c r="E159" s="103"/>
      <c r="F159" s="103"/>
      <c r="G159" t="s">
        <v>143</v>
      </c>
      <c r="H159" t="s">
        <v>137</v>
      </c>
      <c r="J159" t="s">
        <v>146</v>
      </c>
      <c r="L159" t="s">
        <v>281</v>
      </c>
      <c r="M159">
        <f t="shared" si="8"/>
        <v>1</v>
      </c>
    </row>
    <row r="160" spans="1:13" x14ac:dyDescent="0.25">
      <c r="A160" t="s">
        <v>267</v>
      </c>
      <c r="B160" s="102">
        <f>INDEX('Tax Expenditures'!B:B, MATCH(LEFT('Tableau - Rates'!A160, LEN(A160)-1), 'Tax Expenditures'!E:E, 0), 0)*1000000</f>
        <v>42000000</v>
      </c>
      <c r="C160" s="103" t="s">
        <v>134</v>
      </c>
      <c r="D160" s="103" t="s">
        <v>314</v>
      </c>
      <c r="E160" s="103"/>
      <c r="F160" s="103"/>
      <c r="G160" t="s">
        <v>143</v>
      </c>
      <c r="H160" t="s">
        <v>137</v>
      </c>
      <c r="J160" t="s">
        <v>160</v>
      </c>
      <c r="L160" t="s">
        <v>281</v>
      </c>
      <c r="M160">
        <f t="shared" si="8"/>
        <v>1</v>
      </c>
    </row>
    <row r="161" spans="1:13" x14ac:dyDescent="0.25">
      <c r="A161" t="s">
        <v>268</v>
      </c>
      <c r="B161" s="102">
        <f>INDEX('Tax Expenditures'!B:B, MATCH(LEFT('Tableau - Rates'!A161, LEN(A161)-1), 'Tax Expenditures'!E:E, 0), 0)*1000000</f>
        <v>1000000</v>
      </c>
      <c r="C161" s="103" t="s">
        <v>134</v>
      </c>
      <c r="D161" s="103" t="s">
        <v>315</v>
      </c>
      <c r="E161" s="103"/>
      <c r="F161" s="103"/>
      <c r="G161" t="s">
        <v>143</v>
      </c>
      <c r="H161" t="s">
        <v>137</v>
      </c>
      <c r="J161" t="s">
        <v>160</v>
      </c>
      <c r="L161" t="s">
        <v>281</v>
      </c>
      <c r="M161">
        <f t="shared" si="8"/>
        <v>1</v>
      </c>
    </row>
    <row r="162" spans="1:13" x14ac:dyDescent="0.25">
      <c r="A162" t="s">
        <v>269</v>
      </c>
      <c r="B162" s="102">
        <f>INDEX('Tax Expenditures'!B:B, MATCH(LEFT('Tableau - Rates'!A162, LEN(A162)-1), 'Tax Expenditures'!E:E, 0), 0)*1000000</f>
        <v>8000000</v>
      </c>
      <c r="C162" s="103" t="s">
        <v>134</v>
      </c>
      <c r="D162" s="103" t="s">
        <v>627</v>
      </c>
      <c r="E162" s="103"/>
      <c r="F162" s="103"/>
      <c r="G162" t="s">
        <v>143</v>
      </c>
      <c r="H162" t="s">
        <v>137</v>
      </c>
      <c r="J162" t="s">
        <v>160</v>
      </c>
      <c r="L162" t="s">
        <v>281</v>
      </c>
      <c r="M162">
        <f t="shared" si="8"/>
        <v>1</v>
      </c>
    </row>
    <row r="163" spans="1:13" x14ac:dyDescent="0.25">
      <c r="A163" t="s">
        <v>164</v>
      </c>
      <c r="B163" s="102">
        <v>0</v>
      </c>
      <c r="C163" s="103" t="s">
        <v>134</v>
      </c>
      <c r="D163" s="103" t="s">
        <v>163</v>
      </c>
      <c r="E163" s="103"/>
      <c r="F163" s="103"/>
      <c r="G163" t="s">
        <v>143</v>
      </c>
      <c r="H163" t="s">
        <v>137</v>
      </c>
      <c r="M163">
        <f t="shared" si="8"/>
        <v>26</v>
      </c>
    </row>
    <row r="164" spans="1:13" x14ac:dyDescent="0.25">
      <c r="A164" t="s">
        <v>164</v>
      </c>
      <c r="B164" s="102">
        <v>0</v>
      </c>
      <c r="C164" s="103" t="s">
        <v>134</v>
      </c>
      <c r="D164" s="103" t="s">
        <v>163</v>
      </c>
      <c r="E164" s="103"/>
      <c r="F164" s="103"/>
      <c r="G164" t="s">
        <v>144</v>
      </c>
      <c r="H164" t="s">
        <v>137</v>
      </c>
      <c r="M164">
        <f t="shared" si="8"/>
        <v>26</v>
      </c>
    </row>
    <row r="165" spans="1:13" s="103" customFormat="1" x14ac:dyDescent="0.25">
      <c r="A165" s="101" t="s">
        <v>641</v>
      </c>
      <c r="B165" s="102">
        <v>947400000</v>
      </c>
      <c r="C165" s="103" t="s">
        <v>141</v>
      </c>
      <c r="D165" s="103" t="s">
        <v>618</v>
      </c>
      <c r="G165" s="103" t="s">
        <v>144</v>
      </c>
      <c r="I165" s="103">
        <v>0</v>
      </c>
      <c r="L165" s="103" t="s">
        <v>608</v>
      </c>
      <c r="M165" s="103">
        <f t="shared" si="8"/>
        <v>1</v>
      </c>
    </row>
    <row r="166" spans="1:13" s="103" customFormat="1" x14ac:dyDescent="0.25">
      <c r="A166" s="101" t="s">
        <v>642</v>
      </c>
      <c r="B166" s="102">
        <v>172000000</v>
      </c>
      <c r="C166" s="103" t="s">
        <v>141</v>
      </c>
      <c r="D166" s="103" t="s">
        <v>643</v>
      </c>
      <c r="G166" s="103" t="s">
        <v>144</v>
      </c>
      <c r="I166" s="103">
        <v>0</v>
      </c>
      <c r="L166" s="103" t="s">
        <v>608</v>
      </c>
      <c r="M166" s="103">
        <f t="shared" si="8"/>
        <v>1</v>
      </c>
    </row>
    <row r="167" spans="1:13" x14ac:dyDescent="0.25">
      <c r="A167" s="15" t="s">
        <v>138</v>
      </c>
      <c r="B167" s="102">
        <v>31600000</v>
      </c>
      <c r="C167" s="103" t="s">
        <v>141</v>
      </c>
      <c r="D167" s="103" t="s">
        <v>347</v>
      </c>
      <c r="E167" s="103"/>
      <c r="F167" s="103"/>
      <c r="G167" t="s">
        <v>144</v>
      </c>
      <c r="I167">
        <v>0</v>
      </c>
      <c r="L167" t="s">
        <v>608</v>
      </c>
      <c r="M167">
        <f t="shared" si="8"/>
        <v>1</v>
      </c>
    </row>
    <row r="168" spans="1:13" x14ac:dyDescent="0.25">
      <c r="A168" s="15" t="s">
        <v>139</v>
      </c>
      <c r="B168" s="102">
        <v>18000000</v>
      </c>
      <c r="C168" s="103" t="s">
        <v>141</v>
      </c>
      <c r="D168" s="103" t="s">
        <v>346</v>
      </c>
      <c r="E168" s="103"/>
      <c r="F168" s="103"/>
      <c r="G168" t="s">
        <v>144</v>
      </c>
      <c r="I168">
        <v>0</v>
      </c>
      <c r="L168" t="s">
        <v>608</v>
      </c>
      <c r="M168">
        <f t="shared" si="8"/>
        <v>1</v>
      </c>
    </row>
    <row r="169" spans="1:13" x14ac:dyDescent="0.25">
      <c r="A169" s="15" t="s">
        <v>140</v>
      </c>
      <c r="B169" s="102">
        <v>7400000</v>
      </c>
      <c r="C169" s="103" t="s">
        <v>141</v>
      </c>
      <c r="D169" s="103" t="s">
        <v>345</v>
      </c>
      <c r="E169" s="103"/>
      <c r="F169" s="103"/>
      <c r="G169" t="s">
        <v>143</v>
      </c>
      <c r="I169">
        <v>0</v>
      </c>
      <c r="L169" t="s">
        <v>608</v>
      </c>
      <c r="M169">
        <f t="shared" si="8"/>
        <v>1</v>
      </c>
    </row>
    <row r="170" spans="1:13" x14ac:dyDescent="0.25">
      <c r="A170" s="15" t="s">
        <v>620</v>
      </c>
      <c r="B170" s="102">
        <v>163100000</v>
      </c>
      <c r="C170" s="103" t="s">
        <v>141</v>
      </c>
      <c r="D170" s="103" t="s">
        <v>621</v>
      </c>
      <c r="E170" s="103"/>
      <c r="F170" s="103"/>
      <c r="G170" t="s">
        <v>143</v>
      </c>
      <c r="I170">
        <v>0</v>
      </c>
      <c r="L170" t="s">
        <v>608</v>
      </c>
      <c r="M170">
        <f t="shared" si="8"/>
        <v>1</v>
      </c>
    </row>
    <row r="171" spans="1:13" x14ac:dyDescent="0.25">
      <c r="A171" s="15" t="s">
        <v>622</v>
      </c>
      <c r="B171" s="102">
        <v>262000000</v>
      </c>
      <c r="C171" s="103" t="s">
        <v>141</v>
      </c>
      <c r="D171" s="103" t="s">
        <v>628</v>
      </c>
      <c r="E171" s="103"/>
      <c r="F171" s="103"/>
      <c r="G171" t="s">
        <v>143</v>
      </c>
      <c r="I171">
        <v>0</v>
      </c>
      <c r="L171" t="s">
        <v>608</v>
      </c>
      <c r="M171">
        <f t="shared" si="8"/>
        <v>1</v>
      </c>
    </row>
    <row r="172" spans="1:13" x14ac:dyDescent="0.25">
      <c r="A172" s="15" t="s">
        <v>623</v>
      </c>
      <c r="B172" s="102">
        <v>26300000</v>
      </c>
      <c r="C172" s="103" t="s">
        <v>141</v>
      </c>
      <c r="D172" s="103" t="s">
        <v>624</v>
      </c>
      <c r="E172" s="103"/>
      <c r="F172" s="103"/>
      <c r="G172" t="s">
        <v>143</v>
      </c>
      <c r="I172">
        <v>0</v>
      </c>
      <c r="L172" t="s">
        <v>608</v>
      </c>
      <c r="M172">
        <f t="shared" si="8"/>
        <v>1</v>
      </c>
    </row>
    <row r="173" spans="1:13" x14ac:dyDescent="0.25">
      <c r="A173" s="15" t="s">
        <v>164</v>
      </c>
      <c r="B173" s="102">
        <v>0</v>
      </c>
      <c r="C173" s="103" t="s">
        <v>141</v>
      </c>
      <c r="D173" s="103"/>
      <c r="E173" s="103"/>
      <c r="F173" s="103"/>
      <c r="G173" t="s">
        <v>143</v>
      </c>
      <c r="M173">
        <f t="shared" si="8"/>
        <v>26</v>
      </c>
    </row>
    <row r="174" spans="1:13" x14ac:dyDescent="0.25">
      <c r="A174" s="15" t="s">
        <v>164</v>
      </c>
      <c r="B174" s="102">
        <v>0</v>
      </c>
      <c r="C174" s="103" t="s">
        <v>141</v>
      </c>
      <c r="D174" s="103"/>
      <c r="E174" s="103"/>
      <c r="F174" s="103"/>
      <c r="G174" t="s">
        <v>144</v>
      </c>
    </row>
    <row r="175" spans="1:13" x14ac:dyDescent="0.25">
      <c r="A175" t="s">
        <v>164</v>
      </c>
      <c r="B175" s="102">
        <v>0</v>
      </c>
      <c r="C175" s="103"/>
      <c r="D175" s="103"/>
      <c r="E175" s="102">
        <v>0</v>
      </c>
      <c r="F175" s="103"/>
      <c r="G175" t="s">
        <v>143</v>
      </c>
      <c r="L175" t="s">
        <v>293</v>
      </c>
    </row>
    <row r="176" spans="1:13" x14ac:dyDescent="0.25">
      <c r="A176" t="s">
        <v>164</v>
      </c>
      <c r="B176" s="102">
        <v>0</v>
      </c>
      <c r="C176" s="103"/>
      <c r="D176" s="103"/>
      <c r="E176" s="102">
        <v>0</v>
      </c>
      <c r="F176" s="103"/>
      <c r="G176" t="s">
        <v>143</v>
      </c>
      <c r="L176" t="s">
        <v>1</v>
      </c>
    </row>
    <row r="177" spans="1:12" x14ac:dyDescent="0.25">
      <c r="A177" t="s">
        <v>164</v>
      </c>
      <c r="B177" s="102">
        <v>0</v>
      </c>
      <c r="C177" s="103"/>
      <c r="D177" s="103"/>
      <c r="E177" s="102">
        <v>0</v>
      </c>
      <c r="F177" s="103"/>
      <c r="G177" t="s">
        <v>143</v>
      </c>
      <c r="L177" t="s">
        <v>280</v>
      </c>
    </row>
    <row r="178" spans="1:12" x14ac:dyDescent="0.25">
      <c r="A178" t="s">
        <v>164</v>
      </c>
      <c r="B178" s="102">
        <v>0</v>
      </c>
      <c r="C178" s="103"/>
      <c r="D178" s="103"/>
      <c r="E178" s="102">
        <v>0</v>
      </c>
      <c r="F178" s="103"/>
      <c r="G178" t="s">
        <v>143</v>
      </c>
      <c r="L178" t="s">
        <v>281</v>
      </c>
    </row>
    <row r="179" spans="1:12" x14ac:dyDescent="0.25">
      <c r="A179" t="s">
        <v>164</v>
      </c>
      <c r="B179" s="102">
        <v>0</v>
      </c>
      <c r="C179" s="103"/>
      <c r="D179" s="103"/>
      <c r="E179" s="102">
        <v>0</v>
      </c>
      <c r="F179" s="103"/>
      <c r="G179" t="s">
        <v>143</v>
      </c>
      <c r="L179" t="s">
        <v>608</v>
      </c>
    </row>
    <row r="180" spans="1:12" x14ac:dyDescent="0.25">
      <c r="A180" t="s">
        <v>164</v>
      </c>
      <c r="B180" s="102">
        <v>0</v>
      </c>
      <c r="C180" s="103"/>
      <c r="D180" s="103"/>
      <c r="E180" s="102">
        <v>0</v>
      </c>
      <c r="F180" s="103"/>
      <c r="G180" t="s">
        <v>143</v>
      </c>
      <c r="L180" t="s">
        <v>0</v>
      </c>
    </row>
    <row r="181" spans="1:12" x14ac:dyDescent="0.25">
      <c r="A181" t="s">
        <v>164</v>
      </c>
      <c r="B181" s="102">
        <v>0</v>
      </c>
      <c r="C181" s="103"/>
      <c r="D181" s="103"/>
      <c r="E181" s="102">
        <v>0</v>
      </c>
      <c r="F181" s="103"/>
      <c r="G181" t="s">
        <v>143</v>
      </c>
      <c r="L181" t="s">
        <v>279</v>
      </c>
    </row>
    <row r="182" spans="1:12" x14ac:dyDescent="0.25">
      <c r="A182" t="s">
        <v>164</v>
      </c>
      <c r="B182" s="102">
        <v>0</v>
      </c>
      <c r="C182" s="103"/>
      <c r="D182" s="103"/>
      <c r="E182" s="102">
        <v>0</v>
      </c>
      <c r="F182" s="103"/>
      <c r="G182" t="s">
        <v>143</v>
      </c>
      <c r="L182" t="s">
        <v>282</v>
      </c>
    </row>
    <row r="183" spans="1:12" x14ac:dyDescent="0.25">
      <c r="A183" t="s">
        <v>164</v>
      </c>
      <c r="B183" s="102">
        <f>'Other Tax Rates'!I6</f>
        <v>25407332.532175064</v>
      </c>
      <c r="C183" s="103"/>
      <c r="D183" s="103"/>
      <c r="E183" s="102">
        <v>0</v>
      </c>
      <c r="F183" s="103"/>
      <c r="G183" t="s">
        <v>143</v>
      </c>
      <c r="L183" t="s">
        <v>292</v>
      </c>
    </row>
    <row r="184" spans="1:12" x14ac:dyDescent="0.25">
      <c r="A184" t="s">
        <v>164</v>
      </c>
      <c r="B184" s="102">
        <f>'Consensus Est.'!B11</f>
        <v>1140600000.0000002</v>
      </c>
      <c r="C184" s="103"/>
      <c r="D184" s="103"/>
      <c r="E184" s="102">
        <v>0</v>
      </c>
      <c r="F184" s="103"/>
      <c r="G184" t="s">
        <v>143</v>
      </c>
      <c r="L184" t="s">
        <v>283</v>
      </c>
    </row>
    <row r="185" spans="1:12" x14ac:dyDescent="0.25">
      <c r="A185" t="s">
        <v>164</v>
      </c>
      <c r="B185" s="102">
        <v>0</v>
      </c>
      <c r="C185" s="103"/>
      <c r="D185" s="103"/>
      <c r="E185" s="102">
        <v>0</v>
      </c>
      <c r="F185" s="103"/>
      <c r="G185" t="s">
        <v>144</v>
      </c>
      <c r="L185" t="s">
        <v>290</v>
      </c>
    </row>
    <row r="186" spans="1:12" x14ac:dyDescent="0.25">
      <c r="A186" t="s">
        <v>164</v>
      </c>
      <c r="B186" s="102">
        <v>0</v>
      </c>
      <c r="C186" s="103"/>
      <c r="D186" s="103"/>
      <c r="E186" s="102">
        <v>0</v>
      </c>
      <c r="F186" s="103"/>
      <c r="G186" t="s">
        <v>144</v>
      </c>
      <c r="L186" t="s">
        <v>289</v>
      </c>
    </row>
    <row r="187" spans="1:12" x14ac:dyDescent="0.25">
      <c r="A187" t="s">
        <v>164</v>
      </c>
      <c r="B187" s="102">
        <v>0</v>
      </c>
      <c r="C187" s="103"/>
      <c r="D187" s="103"/>
      <c r="E187" s="102">
        <v>0</v>
      </c>
      <c r="F187" s="103"/>
      <c r="G187" t="s">
        <v>144</v>
      </c>
      <c r="L187" t="s">
        <v>288</v>
      </c>
    </row>
    <row r="188" spans="1:12" x14ac:dyDescent="0.25">
      <c r="A188" t="s">
        <v>164</v>
      </c>
      <c r="B188" s="102">
        <v>0</v>
      </c>
      <c r="C188" s="103"/>
      <c r="D188" s="103"/>
      <c r="E188" s="102">
        <v>0</v>
      </c>
      <c r="F188" s="103"/>
      <c r="G188" t="s">
        <v>144</v>
      </c>
      <c r="L188" t="s">
        <v>168</v>
      </c>
    </row>
    <row r="189" spans="1:12" x14ac:dyDescent="0.25">
      <c r="A189" t="s">
        <v>164</v>
      </c>
      <c r="B189" s="102">
        <v>0</v>
      </c>
      <c r="C189" s="103"/>
      <c r="D189" s="103"/>
      <c r="E189" s="102">
        <v>0</v>
      </c>
      <c r="F189" s="103"/>
      <c r="G189" t="s">
        <v>144</v>
      </c>
      <c r="L189" t="s">
        <v>608</v>
      </c>
    </row>
    <row r="190" spans="1:12" x14ac:dyDescent="0.25">
      <c r="A190" t="s">
        <v>164</v>
      </c>
      <c r="B190" s="100">
        <f>'Consensus Est.'!B18</f>
        <v>286700000</v>
      </c>
      <c r="C190" s="103"/>
      <c r="D190" s="103"/>
      <c r="E190" s="102">
        <v>0</v>
      </c>
      <c r="F190" s="103"/>
      <c r="G190" t="s">
        <v>144</v>
      </c>
      <c r="L190" t="s">
        <v>609</v>
      </c>
    </row>
    <row r="191" spans="1:12" x14ac:dyDescent="0.25">
      <c r="A191" t="s">
        <v>164</v>
      </c>
      <c r="B191" s="100">
        <f>'Consensus Est.'!B19</f>
        <v>140800000</v>
      </c>
      <c r="C191" s="103"/>
      <c r="D191" s="103"/>
      <c r="E191" s="102">
        <v>0</v>
      </c>
      <c r="F191" s="103"/>
      <c r="G191" t="s">
        <v>144</v>
      </c>
      <c r="L191" t="s">
        <v>610</v>
      </c>
    </row>
    <row r="192" spans="1:12" x14ac:dyDescent="0.25">
      <c r="A192" t="s">
        <v>164</v>
      </c>
      <c r="B192" s="102">
        <v>0</v>
      </c>
      <c r="C192" s="103"/>
      <c r="D192" s="103"/>
      <c r="E192" s="102">
        <v>0</v>
      </c>
      <c r="F192" s="103"/>
      <c r="G192" t="s">
        <v>143</v>
      </c>
      <c r="L192" t="s">
        <v>616</v>
      </c>
    </row>
    <row r="193" spans="2:2" x14ac:dyDescent="0.25">
      <c r="B193" s="24"/>
    </row>
    <row r="194" spans="2:2" x14ac:dyDescent="0.25">
      <c r="B194" s="24"/>
    </row>
    <row r="195" spans="2:2" x14ac:dyDescent="0.25">
      <c r="B195" s="24"/>
    </row>
    <row r="196" spans="2:2" x14ac:dyDescent="0.25">
      <c r="B196" s="24"/>
    </row>
    <row r="197" spans="2:2" x14ac:dyDescent="0.25">
      <c r="B197" s="24"/>
    </row>
    <row r="198" spans="2:2" x14ac:dyDescent="0.25">
      <c r="B198" s="24"/>
    </row>
    <row r="199" spans="2:2" x14ac:dyDescent="0.25">
      <c r="B199" s="24"/>
    </row>
    <row r="200" spans="2:2" x14ac:dyDescent="0.25">
      <c r="B200" s="24"/>
    </row>
    <row r="201" spans="2:2" x14ac:dyDescent="0.25">
      <c r="B201" s="24"/>
    </row>
    <row r="202" spans="2:2" x14ac:dyDescent="0.25">
      <c r="B202" s="24"/>
    </row>
    <row r="203" spans="2:2" x14ac:dyDescent="0.25">
      <c r="B203" s="24"/>
    </row>
    <row r="204" spans="2:2" x14ac:dyDescent="0.25">
      <c r="B204" s="24"/>
    </row>
    <row r="205" spans="2:2" x14ac:dyDescent="0.25">
      <c r="B205" s="24"/>
    </row>
    <row r="206" spans="2:2" x14ac:dyDescent="0.25">
      <c r="B206" s="24"/>
    </row>
    <row r="207" spans="2:2" x14ac:dyDescent="0.25">
      <c r="B207" s="24"/>
    </row>
    <row r="208" spans="2:2" x14ac:dyDescent="0.25">
      <c r="B208" s="24"/>
    </row>
    <row r="209" spans="2:2" x14ac:dyDescent="0.25">
      <c r="B209" s="24"/>
    </row>
    <row r="210" spans="2:2" x14ac:dyDescent="0.25">
      <c r="B210" s="24"/>
    </row>
    <row r="211" spans="2:2" x14ac:dyDescent="0.25">
      <c r="B211" s="24"/>
    </row>
    <row r="212" spans="2:2" x14ac:dyDescent="0.25">
      <c r="B212" s="24"/>
    </row>
    <row r="213" spans="2:2" x14ac:dyDescent="0.25">
      <c r="B213" s="24"/>
    </row>
    <row r="214" spans="2:2" x14ac:dyDescent="0.25">
      <c r="B214" s="24"/>
    </row>
    <row r="215" spans="2:2" x14ac:dyDescent="0.25">
      <c r="B215" s="24"/>
    </row>
    <row r="216" spans="2:2" x14ac:dyDescent="0.25">
      <c r="B216" s="24"/>
    </row>
    <row r="217" spans="2:2" x14ac:dyDescent="0.25">
      <c r="B217" s="24"/>
    </row>
    <row r="218" spans="2:2" x14ac:dyDescent="0.25">
      <c r="B218" s="24"/>
    </row>
    <row r="219" spans="2:2" x14ac:dyDescent="0.25">
      <c r="B219" s="24"/>
    </row>
    <row r="220" spans="2:2" x14ac:dyDescent="0.25">
      <c r="B220" s="24"/>
    </row>
    <row r="221" spans="2:2" x14ac:dyDescent="0.25">
      <c r="B221" s="24"/>
    </row>
    <row r="222" spans="2:2" x14ac:dyDescent="0.25">
      <c r="B222" s="24"/>
    </row>
    <row r="223" spans="2:2" x14ac:dyDescent="0.25">
      <c r="B223" s="24"/>
    </row>
    <row r="224" spans="2:2" x14ac:dyDescent="0.25">
      <c r="B224" s="24"/>
    </row>
    <row r="225" spans="2:2" x14ac:dyDescent="0.25">
      <c r="B225" s="24"/>
    </row>
    <row r="226" spans="2:2" x14ac:dyDescent="0.25">
      <c r="B226" s="24"/>
    </row>
    <row r="227" spans="2:2" x14ac:dyDescent="0.25">
      <c r="B227" s="24"/>
    </row>
    <row r="228" spans="2:2" x14ac:dyDescent="0.25">
      <c r="B228" s="24"/>
    </row>
    <row r="229" spans="2:2" x14ac:dyDescent="0.25">
      <c r="B229" s="24"/>
    </row>
    <row r="230" spans="2:2" x14ac:dyDescent="0.25">
      <c r="B230" s="24"/>
    </row>
    <row r="231" spans="2:2" x14ac:dyDescent="0.25">
      <c r="B231" s="24"/>
    </row>
    <row r="232" spans="2:2" x14ac:dyDescent="0.25">
      <c r="B232" s="24"/>
    </row>
    <row r="233" spans="2:2" x14ac:dyDescent="0.25">
      <c r="B233" s="24"/>
    </row>
    <row r="234" spans="2:2" x14ac:dyDescent="0.25">
      <c r="B234" s="24"/>
    </row>
    <row r="235" spans="2:2" x14ac:dyDescent="0.25">
      <c r="B235" s="24"/>
    </row>
    <row r="236" spans="2:2" x14ac:dyDescent="0.25">
      <c r="B236" s="24"/>
    </row>
    <row r="237" spans="2:2" x14ac:dyDescent="0.25">
      <c r="B237" s="24"/>
    </row>
    <row r="238" spans="2:2" x14ac:dyDescent="0.25">
      <c r="B238" s="24"/>
    </row>
    <row r="239" spans="2:2" x14ac:dyDescent="0.25">
      <c r="B239" s="24"/>
    </row>
    <row r="240" spans="2:2" x14ac:dyDescent="0.25">
      <c r="B240" s="24"/>
    </row>
    <row r="241" spans="2:2" x14ac:dyDescent="0.25">
      <c r="B241" s="24"/>
    </row>
    <row r="242" spans="2:2" x14ac:dyDescent="0.25">
      <c r="B242" s="24"/>
    </row>
    <row r="243" spans="2:2" x14ac:dyDescent="0.25">
      <c r="B243" s="24"/>
    </row>
    <row r="244" spans="2:2" x14ac:dyDescent="0.25">
      <c r="B244" s="24"/>
    </row>
    <row r="245" spans="2:2" x14ac:dyDescent="0.25">
      <c r="B245" s="24"/>
    </row>
    <row r="246" spans="2:2" x14ac:dyDescent="0.25">
      <c r="B246" s="24"/>
    </row>
    <row r="247" spans="2:2" x14ac:dyDescent="0.25">
      <c r="B247" s="24"/>
    </row>
    <row r="248" spans="2:2" x14ac:dyDescent="0.25">
      <c r="B248" s="24"/>
    </row>
    <row r="249" spans="2:2" x14ac:dyDescent="0.25">
      <c r="B249" s="24"/>
    </row>
    <row r="250" spans="2:2" x14ac:dyDescent="0.25">
      <c r="B250" s="24"/>
    </row>
    <row r="251" spans="2:2" x14ac:dyDescent="0.25">
      <c r="B251" s="24"/>
    </row>
    <row r="252" spans="2:2" x14ac:dyDescent="0.25">
      <c r="B252" s="24"/>
    </row>
    <row r="253" spans="2:2" x14ac:dyDescent="0.25">
      <c r="B253" s="24"/>
    </row>
    <row r="254" spans="2:2" x14ac:dyDescent="0.25">
      <c r="B254" s="24"/>
    </row>
    <row r="255" spans="2:2" x14ac:dyDescent="0.25">
      <c r="B255" s="24"/>
    </row>
    <row r="256" spans="2:2" x14ac:dyDescent="0.25">
      <c r="B256" s="24"/>
    </row>
    <row r="257" spans="2:2" x14ac:dyDescent="0.25">
      <c r="B257" s="24"/>
    </row>
    <row r="258" spans="2:2" x14ac:dyDescent="0.25">
      <c r="B258" s="24"/>
    </row>
    <row r="259" spans="2:2" x14ac:dyDescent="0.25">
      <c r="B259" s="24"/>
    </row>
    <row r="260" spans="2:2" x14ac:dyDescent="0.25">
      <c r="B260" s="24"/>
    </row>
    <row r="261" spans="2:2" x14ac:dyDescent="0.25">
      <c r="B261" s="24"/>
    </row>
    <row r="262" spans="2:2" x14ac:dyDescent="0.25">
      <c r="B262" s="24"/>
    </row>
    <row r="263" spans="2:2" x14ac:dyDescent="0.25">
      <c r="B263" s="24"/>
    </row>
    <row r="264" spans="2:2" x14ac:dyDescent="0.25">
      <c r="B264" s="24"/>
    </row>
    <row r="265" spans="2:2" x14ac:dyDescent="0.25">
      <c r="B265" s="24"/>
    </row>
    <row r="266" spans="2:2" x14ac:dyDescent="0.25">
      <c r="B266" s="24"/>
    </row>
    <row r="267" spans="2:2" x14ac:dyDescent="0.25">
      <c r="B267" s="24"/>
    </row>
    <row r="268" spans="2:2" x14ac:dyDescent="0.25">
      <c r="B268" s="24"/>
    </row>
    <row r="269" spans="2:2" x14ac:dyDescent="0.25">
      <c r="B269" s="24"/>
    </row>
    <row r="270" spans="2:2" x14ac:dyDescent="0.25">
      <c r="B270" s="24"/>
    </row>
    <row r="271" spans="2:2" x14ac:dyDescent="0.25">
      <c r="B271" s="24"/>
    </row>
    <row r="272" spans="2:2" x14ac:dyDescent="0.25">
      <c r="B272" s="24"/>
    </row>
    <row r="273" spans="2:2" x14ac:dyDescent="0.25">
      <c r="B273" s="24"/>
    </row>
    <row r="274" spans="2:2" x14ac:dyDescent="0.25">
      <c r="B274" s="24"/>
    </row>
    <row r="275" spans="2:2" x14ac:dyDescent="0.25">
      <c r="B275" s="24"/>
    </row>
    <row r="276" spans="2:2" x14ac:dyDescent="0.25">
      <c r="B276" s="24"/>
    </row>
    <row r="277" spans="2:2" x14ac:dyDescent="0.25">
      <c r="B277" s="24"/>
    </row>
    <row r="278" spans="2:2" x14ac:dyDescent="0.25">
      <c r="B278" s="24"/>
    </row>
    <row r="279" spans="2:2" x14ac:dyDescent="0.25">
      <c r="B279" s="24"/>
    </row>
    <row r="280" spans="2:2" x14ac:dyDescent="0.25">
      <c r="B280" s="24"/>
    </row>
    <row r="281" spans="2:2" x14ac:dyDescent="0.25">
      <c r="B281" s="24"/>
    </row>
    <row r="282" spans="2:2" x14ac:dyDescent="0.25">
      <c r="B282" s="24"/>
    </row>
    <row r="283" spans="2:2" x14ac:dyDescent="0.25">
      <c r="B283" s="24"/>
    </row>
    <row r="284" spans="2:2" x14ac:dyDescent="0.25">
      <c r="B284" s="24"/>
    </row>
    <row r="285" spans="2:2" x14ac:dyDescent="0.25">
      <c r="B285" s="24"/>
    </row>
    <row r="286" spans="2:2" x14ac:dyDescent="0.25">
      <c r="B286" s="24"/>
    </row>
    <row r="287" spans="2:2" x14ac:dyDescent="0.25">
      <c r="B287" s="24"/>
    </row>
    <row r="288" spans="2:2" x14ac:dyDescent="0.25">
      <c r="B288" s="24"/>
    </row>
    <row r="289" spans="2:2" x14ac:dyDescent="0.25">
      <c r="B289" s="24"/>
    </row>
    <row r="290" spans="2:2" x14ac:dyDescent="0.25">
      <c r="B290" s="24"/>
    </row>
    <row r="291" spans="2:2" x14ac:dyDescent="0.25">
      <c r="B291" s="24"/>
    </row>
    <row r="292" spans="2:2" x14ac:dyDescent="0.25">
      <c r="B292" s="24"/>
    </row>
    <row r="293" spans="2:2" x14ac:dyDescent="0.25">
      <c r="B293" s="24"/>
    </row>
    <row r="294" spans="2:2" x14ac:dyDescent="0.25">
      <c r="B294" s="24"/>
    </row>
    <row r="295" spans="2:2" x14ac:dyDescent="0.25">
      <c r="B295" s="24"/>
    </row>
    <row r="296" spans="2:2" x14ac:dyDescent="0.25">
      <c r="B296" s="24"/>
    </row>
    <row r="297" spans="2:2" x14ac:dyDescent="0.25">
      <c r="B297" s="24"/>
    </row>
    <row r="298" spans="2:2" x14ac:dyDescent="0.25">
      <c r="B298" s="24"/>
    </row>
    <row r="299" spans="2:2" x14ac:dyDescent="0.25">
      <c r="B299" s="2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39997558519241921"/>
  </sheetPr>
  <dimension ref="A1:L38"/>
  <sheetViews>
    <sheetView showGridLines="0" zoomScaleNormal="100" workbookViewId="0"/>
  </sheetViews>
  <sheetFormatPr defaultColWidth="8.7109375" defaultRowHeight="15" x14ac:dyDescent="0.25"/>
  <cols>
    <col min="1" max="1" width="18.7109375" customWidth="1"/>
    <col min="8" max="8" width="24.7109375" customWidth="1"/>
    <col min="9" max="9" width="15.7109375" customWidth="1"/>
    <col min="10" max="10" width="19.7109375" customWidth="1"/>
  </cols>
  <sheetData>
    <row r="1" spans="1:12" ht="15.75" x14ac:dyDescent="0.25">
      <c r="K1" s="67" t="s">
        <v>406</v>
      </c>
      <c r="L1" s="68"/>
    </row>
    <row r="2" spans="1:12" x14ac:dyDescent="0.25">
      <c r="K2" s="69">
        <v>1</v>
      </c>
      <c r="L2" s="99" t="s">
        <v>659</v>
      </c>
    </row>
    <row r="3" spans="1:12" x14ac:dyDescent="0.25">
      <c r="K3" s="69">
        <v>2</v>
      </c>
      <c r="L3" s="99" t="s">
        <v>658</v>
      </c>
    </row>
    <row r="4" spans="1:12" x14ac:dyDescent="0.25">
      <c r="K4" s="69">
        <v>3</v>
      </c>
      <c r="L4" s="70" t="s">
        <v>408</v>
      </c>
    </row>
    <row r="5" spans="1:12" ht="15.75" x14ac:dyDescent="0.25">
      <c r="A5" s="40" t="s">
        <v>412</v>
      </c>
      <c r="H5" s="40" t="s">
        <v>413</v>
      </c>
      <c r="K5" s="69">
        <v>4</v>
      </c>
      <c r="L5" s="70" t="s">
        <v>409</v>
      </c>
    </row>
    <row r="6" spans="1:12" ht="75" x14ac:dyDescent="0.25">
      <c r="A6" s="27" t="s">
        <v>69</v>
      </c>
      <c r="B6" s="27" t="s">
        <v>66</v>
      </c>
      <c r="C6" s="27" t="s">
        <v>67</v>
      </c>
      <c r="D6" s="27" t="s">
        <v>68</v>
      </c>
      <c r="E6" s="27" t="s">
        <v>70</v>
      </c>
      <c r="F6" s="41"/>
      <c r="G6" s="41"/>
      <c r="H6" s="27" t="s">
        <v>625</v>
      </c>
      <c r="I6" s="27" t="s">
        <v>397</v>
      </c>
      <c r="J6" s="27" t="s">
        <v>396</v>
      </c>
      <c r="L6" s="69"/>
    </row>
    <row r="7" spans="1:12" x14ac:dyDescent="0.25">
      <c r="A7" s="6">
        <v>0.03</v>
      </c>
      <c r="B7" s="7">
        <v>0</v>
      </c>
      <c r="C7" s="8">
        <v>0</v>
      </c>
      <c r="D7" s="7">
        <v>0</v>
      </c>
      <c r="E7" s="9">
        <v>0</v>
      </c>
      <c r="H7" s="42">
        <f>'Consensus Est.'!B2+'Consensus Est.'!B3</f>
        <v>12101800000</v>
      </c>
      <c r="I7" s="43">
        <f ca="1">SUM(PIT!AF9:AF61) + SUM('PIT - NRPY'!AF9:AF61)</f>
        <v>8822511214</v>
      </c>
      <c r="J7" s="44">
        <f ca="1">H7/I7</f>
        <v>1.3716956211737381</v>
      </c>
    </row>
    <row r="8" spans="1:12" x14ac:dyDescent="0.25">
      <c r="A8" s="6">
        <v>0.05</v>
      </c>
      <c r="B8" s="8">
        <v>10000</v>
      </c>
      <c r="C8" s="8">
        <v>20000</v>
      </c>
      <c r="D8" s="8">
        <v>10000</v>
      </c>
      <c r="E8" s="10">
        <v>16000</v>
      </c>
      <c r="I8" s="25"/>
    </row>
    <row r="9" spans="1:12" x14ac:dyDescent="0.25">
      <c r="A9" s="6">
        <v>5.5E-2</v>
      </c>
      <c r="B9" s="8">
        <v>50000</v>
      </c>
      <c r="C9" s="8">
        <v>100000</v>
      </c>
      <c r="D9" s="8">
        <v>50000</v>
      </c>
      <c r="E9" s="10">
        <v>80000</v>
      </c>
    </row>
    <row r="10" spans="1:12" x14ac:dyDescent="0.25">
      <c r="A10" s="6">
        <v>0.06</v>
      </c>
      <c r="B10" s="8">
        <v>100000</v>
      </c>
      <c r="C10" s="8">
        <v>200000</v>
      </c>
      <c r="D10" s="8">
        <v>100000</v>
      </c>
      <c r="E10" s="10">
        <v>160000</v>
      </c>
    </row>
    <row r="11" spans="1:12" x14ac:dyDescent="0.25">
      <c r="A11" s="6">
        <v>6.5000000000000002E-2</v>
      </c>
      <c r="B11" s="8">
        <v>200000</v>
      </c>
      <c r="C11" s="8">
        <v>400000</v>
      </c>
      <c r="D11" s="8">
        <v>200000</v>
      </c>
      <c r="E11" s="10">
        <v>320000</v>
      </c>
      <c r="H11" s="5"/>
      <c r="I11" s="5"/>
      <c r="J11" s="5"/>
    </row>
    <row r="12" spans="1:12" x14ac:dyDescent="0.25">
      <c r="A12" s="6">
        <v>6.9000000000000006E-2</v>
      </c>
      <c r="B12" s="8">
        <v>250000</v>
      </c>
      <c r="C12" s="8">
        <v>500000</v>
      </c>
      <c r="D12" s="8">
        <v>250000</v>
      </c>
      <c r="E12" s="10">
        <v>400000</v>
      </c>
      <c r="H12" s="107"/>
      <c r="I12" s="107"/>
      <c r="J12" s="107"/>
    </row>
    <row r="13" spans="1:12" x14ac:dyDescent="0.25">
      <c r="A13" s="6">
        <v>6.9900000000000004E-2</v>
      </c>
      <c r="B13" s="8">
        <v>500000</v>
      </c>
      <c r="C13" s="8">
        <v>1000000</v>
      </c>
      <c r="D13" s="8">
        <v>500000</v>
      </c>
      <c r="E13" s="10">
        <v>800000</v>
      </c>
      <c r="H13" s="107"/>
      <c r="I13" s="107"/>
      <c r="J13" s="107"/>
    </row>
    <row r="14" spans="1:12" x14ac:dyDescent="0.25">
      <c r="A14" s="6"/>
      <c r="B14" s="8"/>
      <c r="C14" s="7"/>
      <c r="D14" s="7"/>
      <c r="E14" s="9"/>
      <c r="H14" s="107"/>
      <c r="I14" s="70"/>
      <c r="J14" s="107"/>
    </row>
    <row r="15" spans="1:12" x14ac:dyDescent="0.25">
      <c r="A15" s="6"/>
      <c r="B15" s="14"/>
      <c r="C15" s="7"/>
      <c r="D15" s="7"/>
      <c r="E15" s="9"/>
    </row>
    <row r="16" spans="1:12" ht="15.75" thickBot="1" x14ac:dyDescent="0.3">
      <c r="A16" s="11"/>
      <c r="B16" s="12"/>
      <c r="C16" s="12"/>
      <c r="D16" s="12"/>
      <c r="E16" s="13"/>
    </row>
    <row r="17" spans="1:5" x14ac:dyDescent="0.25">
      <c r="D17" s="7"/>
      <c r="E17" s="7"/>
    </row>
    <row r="18" spans="1:5" ht="31.5" x14ac:dyDescent="0.25">
      <c r="B18" s="49" t="s">
        <v>66</v>
      </c>
      <c r="C18" s="49" t="s">
        <v>67</v>
      </c>
      <c r="D18" s="49" t="s">
        <v>68</v>
      </c>
      <c r="E18" s="49" t="s">
        <v>70</v>
      </c>
    </row>
    <row r="19" spans="1:5" x14ac:dyDescent="0.25">
      <c r="A19" s="53" t="s">
        <v>414</v>
      </c>
      <c r="B19" s="50"/>
      <c r="C19" s="50"/>
      <c r="D19" s="50"/>
      <c r="E19" s="35"/>
    </row>
    <row r="20" spans="1:5" x14ac:dyDescent="0.25">
      <c r="A20" s="45" t="s">
        <v>82</v>
      </c>
      <c r="B20" s="61">
        <v>15000</v>
      </c>
      <c r="C20" s="62">
        <v>24000</v>
      </c>
      <c r="D20" s="62">
        <v>12000</v>
      </c>
      <c r="E20" s="63">
        <v>19000</v>
      </c>
    </row>
    <row r="21" spans="1:5" x14ac:dyDescent="0.25">
      <c r="A21" s="45" t="s">
        <v>78</v>
      </c>
      <c r="B21" s="64">
        <v>30000</v>
      </c>
      <c r="C21" s="54">
        <v>48000</v>
      </c>
      <c r="D21" s="54">
        <v>24000</v>
      </c>
      <c r="E21" s="55">
        <v>38000</v>
      </c>
    </row>
    <row r="22" spans="1:5" x14ac:dyDescent="0.25">
      <c r="A22" s="45" t="s">
        <v>79</v>
      </c>
      <c r="B22" s="66">
        <f>B21+(B20/B23*1000)</f>
        <v>45000</v>
      </c>
      <c r="C22" s="56">
        <f>C21+(C20/C23*1000)</f>
        <v>72000</v>
      </c>
      <c r="D22" s="56">
        <f>D21+(D20/D23*1000)</f>
        <v>36000</v>
      </c>
      <c r="E22" s="57">
        <f>E21+(E20/E23*1000)</f>
        <v>57000</v>
      </c>
    </row>
    <row r="23" spans="1:5" x14ac:dyDescent="0.25">
      <c r="A23" s="51" t="s">
        <v>80</v>
      </c>
      <c r="B23" s="65">
        <v>1000</v>
      </c>
      <c r="C23" s="58">
        <v>1000</v>
      </c>
      <c r="D23" s="58">
        <v>1000</v>
      </c>
      <c r="E23" s="59">
        <v>1000</v>
      </c>
    </row>
    <row r="24" spans="1:5" x14ac:dyDescent="0.25">
      <c r="B24" s="8"/>
      <c r="C24" s="8"/>
      <c r="D24" s="8"/>
      <c r="E24" s="8"/>
    </row>
    <row r="25" spans="1:5" x14ac:dyDescent="0.25">
      <c r="A25" s="53" t="s">
        <v>415</v>
      </c>
      <c r="B25" s="52"/>
      <c r="C25" s="52"/>
      <c r="D25" s="52"/>
      <c r="E25" s="17"/>
    </row>
    <row r="26" spans="1:5" x14ac:dyDescent="0.25">
      <c r="A26" s="45" t="s">
        <v>78</v>
      </c>
      <c r="B26" s="61">
        <v>56500</v>
      </c>
      <c r="C26" s="62">
        <v>100500</v>
      </c>
      <c r="D26" s="62">
        <v>50250</v>
      </c>
      <c r="E26" s="63">
        <v>78500</v>
      </c>
    </row>
    <row r="27" spans="1:5" x14ac:dyDescent="0.25">
      <c r="A27" s="45" t="s">
        <v>79</v>
      </c>
      <c r="B27" s="66">
        <f>B8/B28*1000+B26</f>
        <v>106500</v>
      </c>
      <c r="C27" s="56">
        <f>C8/C28*1000+C26</f>
        <v>150500</v>
      </c>
      <c r="D27" s="56">
        <f>D8/D28*1000+D26</f>
        <v>75250</v>
      </c>
      <c r="E27" s="57">
        <f>E8/E28*1000+E26</f>
        <v>118500</v>
      </c>
    </row>
    <row r="28" spans="1:5" x14ac:dyDescent="0.25">
      <c r="A28" s="51" t="s">
        <v>80</v>
      </c>
      <c r="B28" s="65">
        <v>200</v>
      </c>
      <c r="C28" s="58">
        <v>400</v>
      </c>
      <c r="D28" s="58">
        <v>400</v>
      </c>
      <c r="E28" s="59">
        <v>400</v>
      </c>
    </row>
    <row r="29" spans="1:5" x14ac:dyDescent="0.25">
      <c r="B29" s="8"/>
      <c r="C29" s="8"/>
      <c r="D29" s="8"/>
      <c r="E29" s="8"/>
    </row>
    <row r="30" spans="1:5" x14ac:dyDescent="0.25">
      <c r="A30" s="53" t="s">
        <v>416</v>
      </c>
      <c r="B30" s="52"/>
      <c r="C30" s="52"/>
      <c r="D30" s="52"/>
      <c r="E30" s="17"/>
    </row>
    <row r="31" spans="1:5" x14ac:dyDescent="0.25">
      <c r="A31" s="45" t="s">
        <v>78</v>
      </c>
      <c r="B31" s="61">
        <v>200000</v>
      </c>
      <c r="C31" s="62">
        <v>400000</v>
      </c>
      <c r="D31" s="62">
        <v>200000</v>
      </c>
      <c r="E31" s="63">
        <v>320000</v>
      </c>
    </row>
    <row r="32" spans="1:5" x14ac:dyDescent="0.25">
      <c r="A32" s="45" t="s">
        <v>84</v>
      </c>
      <c r="B32" s="64">
        <v>2700</v>
      </c>
      <c r="C32" s="54">
        <v>5400</v>
      </c>
      <c r="D32" s="54">
        <v>2700</v>
      </c>
      <c r="E32" s="55">
        <v>4200</v>
      </c>
    </row>
    <row r="33" spans="1:5" x14ac:dyDescent="0.25">
      <c r="A33" s="51" t="s">
        <v>81</v>
      </c>
      <c r="B33" s="65">
        <v>18</v>
      </c>
      <c r="C33" s="58">
        <v>18</v>
      </c>
      <c r="D33" s="58">
        <v>18</v>
      </c>
      <c r="E33" s="60">
        <v>17.5</v>
      </c>
    </row>
    <row r="34" spans="1:5" x14ac:dyDescent="0.25">
      <c r="B34" s="8"/>
      <c r="C34" s="8"/>
      <c r="D34" s="8"/>
      <c r="E34" s="8"/>
    </row>
    <row r="35" spans="1:5" x14ac:dyDescent="0.25">
      <c r="A35" s="53" t="s">
        <v>417</v>
      </c>
      <c r="B35" s="52"/>
      <c r="C35" s="52"/>
      <c r="D35" s="52"/>
      <c r="E35" s="17"/>
    </row>
    <row r="36" spans="1:5" x14ac:dyDescent="0.25">
      <c r="A36" s="45" t="s">
        <v>78</v>
      </c>
      <c r="B36" s="61">
        <v>500000</v>
      </c>
      <c r="C36" s="62">
        <v>1000000</v>
      </c>
      <c r="D36" s="62">
        <v>500000</v>
      </c>
      <c r="E36" s="63">
        <v>800000</v>
      </c>
    </row>
    <row r="37" spans="1:5" x14ac:dyDescent="0.25">
      <c r="A37" s="45" t="s">
        <v>84</v>
      </c>
      <c r="B37" s="64">
        <v>450</v>
      </c>
      <c r="C37" s="54">
        <v>900</v>
      </c>
      <c r="D37" s="54">
        <v>450</v>
      </c>
      <c r="E37" s="55">
        <v>720</v>
      </c>
    </row>
    <row r="38" spans="1:5" x14ac:dyDescent="0.25">
      <c r="A38" s="51" t="s">
        <v>81</v>
      </c>
      <c r="B38" s="65">
        <v>10</v>
      </c>
      <c r="C38" s="58">
        <v>10</v>
      </c>
      <c r="D38" s="58">
        <v>10</v>
      </c>
      <c r="E38" s="59">
        <v>10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39997558519241921"/>
  </sheetPr>
  <dimension ref="A1:AH62"/>
  <sheetViews>
    <sheetView showGridLines="0" workbookViewId="0"/>
  </sheetViews>
  <sheetFormatPr defaultColWidth="8.7109375" defaultRowHeight="15" x14ac:dyDescent="0.25"/>
  <cols>
    <col min="1" max="1" width="15.42578125" bestFit="1" customWidth="1"/>
    <col min="3" max="3" width="13.28515625" bestFit="1" customWidth="1"/>
    <col min="4" max="4" width="12.140625" customWidth="1"/>
    <col min="6" max="6" width="22.42578125" customWidth="1"/>
    <col min="7" max="7" width="21.140625" customWidth="1"/>
    <col min="8" max="8" width="16.42578125" customWidth="1"/>
    <col min="9" max="9" width="13.140625" customWidth="1"/>
    <col min="10" max="10" width="14" customWidth="1"/>
    <col min="11" max="11" width="13.140625" customWidth="1"/>
    <col min="12" max="12" width="14" customWidth="1"/>
    <col min="13" max="13" width="12.7109375" customWidth="1"/>
    <col min="14" max="14" width="13.7109375" customWidth="1"/>
    <col min="15" max="15" width="15.42578125" customWidth="1"/>
    <col min="21" max="21" width="8.7109375" customWidth="1"/>
    <col min="32" max="32" width="14.42578125" customWidth="1"/>
  </cols>
  <sheetData>
    <row r="1" spans="1:34" ht="60" x14ac:dyDescent="0.25">
      <c r="A1" s="27" t="s">
        <v>352</v>
      </c>
      <c r="B1" s="27" t="s">
        <v>410</v>
      </c>
      <c r="C1" s="27" t="s">
        <v>407</v>
      </c>
      <c r="D1" s="27" t="s">
        <v>407</v>
      </c>
      <c r="E1" s="27"/>
      <c r="F1" s="27" t="s">
        <v>411</v>
      </c>
      <c r="G1" s="27" t="s">
        <v>410</v>
      </c>
      <c r="H1" s="27"/>
      <c r="I1" s="27" t="s">
        <v>410</v>
      </c>
      <c r="J1" s="27"/>
      <c r="K1" s="27"/>
      <c r="L1" s="27"/>
      <c r="M1" s="27"/>
      <c r="N1" s="27"/>
      <c r="O1" s="27"/>
      <c r="P1" s="27"/>
      <c r="Q1" s="27"/>
      <c r="R1" s="27"/>
      <c r="S1" s="27"/>
      <c r="T1" s="27"/>
      <c r="U1" s="27"/>
      <c r="V1" s="27"/>
      <c r="W1" s="27"/>
      <c r="X1" s="27"/>
      <c r="Y1" s="27"/>
      <c r="Z1" s="27"/>
      <c r="AA1" s="27"/>
      <c r="AB1" s="27"/>
      <c r="AC1" s="27"/>
      <c r="AD1" s="27"/>
      <c r="AE1" s="27"/>
      <c r="AF1" s="27" t="s">
        <v>407</v>
      </c>
    </row>
    <row r="2" spans="1:34" x14ac:dyDescent="0.25">
      <c r="A2" s="2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34" ht="90" x14ac:dyDescent="0.25">
      <c r="A3" s="31" t="s">
        <v>353</v>
      </c>
      <c r="B3" s="32"/>
      <c r="C3" s="32" t="s">
        <v>354</v>
      </c>
      <c r="D3" s="32" t="s">
        <v>355</v>
      </c>
      <c r="E3" s="32" t="s">
        <v>357</v>
      </c>
      <c r="F3" s="34" t="s">
        <v>359</v>
      </c>
      <c r="G3" s="34" t="s">
        <v>360</v>
      </c>
      <c r="H3" s="32" t="s">
        <v>358</v>
      </c>
      <c r="I3" s="34" t="s">
        <v>361</v>
      </c>
      <c r="J3" s="34" t="s">
        <v>365</v>
      </c>
      <c r="K3" s="34" t="s">
        <v>364</v>
      </c>
      <c r="L3" s="34" t="s">
        <v>373</v>
      </c>
      <c r="M3" s="34" t="s">
        <v>374</v>
      </c>
      <c r="N3" s="34" t="s">
        <v>375</v>
      </c>
      <c r="O3" s="34" t="s">
        <v>376</v>
      </c>
      <c r="P3" s="34" t="s">
        <v>377</v>
      </c>
      <c r="Q3" s="34" t="s">
        <v>378</v>
      </c>
      <c r="R3" s="34" t="s">
        <v>378</v>
      </c>
      <c r="S3" s="34" t="s">
        <v>378</v>
      </c>
      <c r="T3" s="34" t="s">
        <v>378</v>
      </c>
      <c r="U3" s="32" t="s">
        <v>366</v>
      </c>
      <c r="V3" s="32" t="s">
        <v>367</v>
      </c>
      <c r="W3" s="32" t="s">
        <v>368</v>
      </c>
      <c r="X3" s="32" t="s">
        <v>369</v>
      </c>
      <c r="Y3" s="32" t="s">
        <v>370</v>
      </c>
      <c r="Z3" s="32" t="s">
        <v>371</v>
      </c>
      <c r="AA3" s="32" t="s">
        <v>372</v>
      </c>
      <c r="AB3" s="34" t="s">
        <v>379</v>
      </c>
      <c r="AC3" s="34" t="s">
        <v>379</v>
      </c>
      <c r="AD3" s="34" t="s">
        <v>379</v>
      </c>
      <c r="AE3" s="34" t="s">
        <v>379</v>
      </c>
      <c r="AF3" s="32" t="s">
        <v>363</v>
      </c>
    </row>
    <row r="4" spans="1:34" x14ac:dyDescent="0.25">
      <c r="A4" s="29"/>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row>
    <row r="5" spans="1:34" x14ac:dyDescent="0.25">
      <c r="A5" s="32" t="s">
        <v>356</v>
      </c>
      <c r="B5" s="32">
        <v>1</v>
      </c>
      <c r="C5" s="32">
        <f t="shared" ref="C5:AF5" si="0">B5+1</f>
        <v>2</v>
      </c>
      <c r="D5" s="32">
        <f t="shared" si="0"/>
        <v>3</v>
      </c>
      <c r="E5" s="32">
        <f t="shared" si="0"/>
        <v>4</v>
      </c>
      <c r="F5" s="32">
        <f t="shared" si="0"/>
        <v>5</v>
      </c>
      <c r="G5" s="32">
        <f t="shared" si="0"/>
        <v>6</v>
      </c>
      <c r="H5" s="32">
        <f t="shared" si="0"/>
        <v>7</v>
      </c>
      <c r="I5" s="32">
        <f t="shared" si="0"/>
        <v>8</v>
      </c>
      <c r="J5" s="32">
        <f t="shared" si="0"/>
        <v>9</v>
      </c>
      <c r="K5" s="32">
        <f t="shared" si="0"/>
        <v>10</v>
      </c>
      <c r="L5" s="32">
        <f t="shared" si="0"/>
        <v>11</v>
      </c>
      <c r="M5" s="32">
        <f t="shared" si="0"/>
        <v>12</v>
      </c>
      <c r="N5" s="32">
        <f t="shared" si="0"/>
        <v>13</v>
      </c>
      <c r="O5" s="32">
        <f t="shared" si="0"/>
        <v>14</v>
      </c>
      <c r="P5" s="32">
        <f t="shared" si="0"/>
        <v>15</v>
      </c>
      <c r="Q5" s="32">
        <f t="shared" si="0"/>
        <v>16</v>
      </c>
      <c r="R5" s="32">
        <f t="shared" si="0"/>
        <v>17</v>
      </c>
      <c r="S5" s="32">
        <f t="shared" si="0"/>
        <v>18</v>
      </c>
      <c r="T5" s="32">
        <f t="shared" si="0"/>
        <v>19</v>
      </c>
      <c r="U5" s="32">
        <f t="shared" si="0"/>
        <v>20</v>
      </c>
      <c r="V5" s="32">
        <f t="shared" si="0"/>
        <v>21</v>
      </c>
      <c r="W5" s="32">
        <f t="shared" si="0"/>
        <v>22</v>
      </c>
      <c r="X5" s="32">
        <f t="shared" si="0"/>
        <v>23</v>
      </c>
      <c r="Y5" s="32">
        <f t="shared" si="0"/>
        <v>24</v>
      </c>
      <c r="Z5" s="32">
        <f t="shared" si="0"/>
        <v>25</v>
      </c>
      <c r="AA5" s="32">
        <f t="shared" si="0"/>
        <v>26</v>
      </c>
      <c r="AB5" s="32">
        <f t="shared" si="0"/>
        <v>27</v>
      </c>
      <c r="AC5" s="32">
        <f t="shared" si="0"/>
        <v>28</v>
      </c>
      <c r="AD5" s="32">
        <f t="shared" si="0"/>
        <v>29</v>
      </c>
      <c r="AE5" s="32">
        <f t="shared" si="0"/>
        <v>30</v>
      </c>
      <c r="AF5" s="32">
        <f t="shared" si="0"/>
        <v>31</v>
      </c>
    </row>
    <row r="6" spans="1:34" x14ac:dyDescent="0.25">
      <c r="A6" s="71" t="s">
        <v>448</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row>
    <row r="7" spans="1:34" ht="18" thickBot="1" x14ac:dyDescent="0.35">
      <c r="A7" s="72" t="s">
        <v>66</v>
      </c>
      <c r="F7" s="5"/>
      <c r="G7" s="5"/>
      <c r="H7" s="5"/>
      <c r="I7" s="5"/>
      <c r="J7" t="s">
        <v>404</v>
      </c>
      <c r="U7" t="s">
        <v>405</v>
      </c>
    </row>
    <row r="8" spans="1:34" ht="30.75" thickTop="1" x14ac:dyDescent="0.25">
      <c r="A8" s="27" t="s">
        <v>69</v>
      </c>
      <c r="B8" s="27" t="s">
        <v>85</v>
      </c>
      <c r="C8" s="27" t="s">
        <v>74</v>
      </c>
      <c r="D8" s="27" t="s">
        <v>75</v>
      </c>
      <c r="E8" s="27" t="s">
        <v>76</v>
      </c>
      <c r="F8" s="27" t="s">
        <v>77</v>
      </c>
      <c r="G8" s="27" t="s">
        <v>131</v>
      </c>
      <c r="H8" s="27" t="s">
        <v>132</v>
      </c>
      <c r="I8" s="27" t="s">
        <v>87</v>
      </c>
      <c r="J8" s="28">
        <f>A9</f>
        <v>0.03</v>
      </c>
      <c r="K8" s="28">
        <f>A10</f>
        <v>0.05</v>
      </c>
      <c r="L8" s="28">
        <f>A11</f>
        <v>5.5E-2</v>
      </c>
      <c r="M8" s="28">
        <f>A12</f>
        <v>0.06</v>
      </c>
      <c r="N8" s="28">
        <f>A13</f>
        <v>6.5000000000000002E-2</v>
      </c>
      <c r="O8" s="28">
        <f>A14</f>
        <v>6.9000000000000006E-2</v>
      </c>
      <c r="P8" s="28">
        <f>A15</f>
        <v>6.9900000000000004E-2</v>
      </c>
      <c r="Q8" s="28">
        <f>A16</f>
        <v>0</v>
      </c>
      <c r="R8" s="28">
        <f>A17</f>
        <v>0</v>
      </c>
      <c r="S8" s="28">
        <f>A18</f>
        <v>0</v>
      </c>
      <c r="T8" s="28">
        <f>A19</f>
        <v>0</v>
      </c>
      <c r="U8" s="28">
        <f t="shared" ref="U8:AE8" si="1">J8</f>
        <v>0.03</v>
      </c>
      <c r="V8" s="28">
        <f t="shared" si="1"/>
        <v>0.05</v>
      </c>
      <c r="W8" s="28">
        <f t="shared" si="1"/>
        <v>5.5E-2</v>
      </c>
      <c r="X8" s="28">
        <f t="shared" si="1"/>
        <v>0.06</v>
      </c>
      <c r="Y8" s="28">
        <f t="shared" si="1"/>
        <v>6.5000000000000002E-2</v>
      </c>
      <c r="Z8" s="28">
        <f t="shared" si="1"/>
        <v>6.9000000000000006E-2</v>
      </c>
      <c r="AA8" s="28">
        <f t="shared" si="1"/>
        <v>6.9900000000000004E-2</v>
      </c>
      <c r="AB8" s="28">
        <f t="shared" si="1"/>
        <v>0</v>
      </c>
      <c r="AC8" s="28">
        <f t="shared" si="1"/>
        <v>0</v>
      </c>
      <c r="AD8" s="28">
        <f t="shared" si="1"/>
        <v>0</v>
      </c>
      <c r="AE8" s="28">
        <f t="shared" si="1"/>
        <v>0</v>
      </c>
      <c r="AF8" s="28" t="s">
        <v>362</v>
      </c>
      <c r="AG8" s="22"/>
    </row>
    <row r="9" spans="1:34" x14ac:dyDescent="0.25">
      <c r="A9" s="19">
        <f>Console!A7</f>
        <v>0.03</v>
      </c>
      <c r="B9" s="8">
        <f>Console!B7</f>
        <v>0</v>
      </c>
      <c r="C9" s="5">
        <f ca="1">SUMIFS(INDIRECT("'"&amp;A$7&amp;" - 1040'!$G:$G"), INDIRECT("'"&amp;A$7&amp;" - 1040'!$A:$A"), "&gt;"&amp;INDEX(Console!$A$6:$E$14, MATCH($A9, Console!$A$6:$A$14, 0), MATCH(A$7, Console!$A$6:$E$6, 0)), INDIRECT("'"&amp;A$7&amp;" - 1040'!$A:$A"), IFERROR("&lt;="&amp;IF(INDEX(Console!$A$6:$E$14, MATCH($A9, Console!$A$6:$A$14, 0)+1, MATCH(A$7, Console!$A$6:$E$6, 0))=0, NA(), INDEX(Console!$A$6:$E$14, MATCH($A9, Console!$A$6:$A$14, 0)+1, MATCH(A$7, Console!$A$6:$E$6, 0))),"&gt;0"))</f>
        <v>791108759</v>
      </c>
      <c r="D9" s="5">
        <f ca="1">SUMIFS(INDIRECT("'"&amp;A$7&amp;" - 1040'!$C:$C"), INDIRECT("'"&amp;A$7&amp;" - 1040'!$A:$A"), "&gt;"&amp;INDEX(Console!$A$6:$E$14, MATCH($A9, Console!$A$6:$A$14, 0), MATCH(A$7, Console!$A$6:$E$6, 0)), INDIRECT("'"&amp;A$7&amp;" - 1040'!$A:$A"), IFERROR("&lt;="&amp;IF(INDEX(Console!$A$6:$E$14, MATCH($A9, Console!$A$6:$A$14, 0)+1, MATCH(A$7, Console!$A$6:$E$6, 0))=0, NA(), INDEX(Console!$A$6:$E$14, MATCH($A9, Console!$A$6:$A$14, 0)+1, MATCH(A$7, Console!$A$6:$E$6, 0))),"&gt;0"))</f>
        <v>173717</v>
      </c>
      <c r="E9" s="5">
        <f t="shared" ref="E9:E19" ca="1" si="2">IFERROR(C9/D9, 0)</f>
        <v>4554.0088707495524</v>
      </c>
      <c r="F9">
        <f ca="1">IF(E9&lt;Console!B$21, Console!B$20, MAX((Console!B$22-E9)/1000*Console!B$23, 0))</f>
        <v>15000</v>
      </c>
      <c r="G9">
        <f ca="1">IF(E9&gt;Console!B$31, MIN((E9-Console!B$31)*Console!B$33/1000, Console!B$32), 0)+IF(E9&gt;Console!B$36, MIN((E9-Console!B$36)*Console!B$38/1000, Console!B$37), 0)</f>
        <v>0</v>
      </c>
      <c r="H9" s="5">
        <f t="shared" ref="H9:H19" ca="1" si="3">G9*D9</f>
        <v>0</v>
      </c>
      <c r="I9" s="17">
        <f ca="1">IF(E9&gt;Console!B$26, IF(E9&lt;Console!B$27, (E9-Console!B$26)*Console!B$28/1000, (Console!B$27-Console!B$26)*Console!B$28/1000), 0)</f>
        <v>0</v>
      </c>
      <c r="J9" s="5">
        <f t="shared" ref="J9:J19" ca="1" si="4">MAX(IF(AND(($E9-$F9)&gt;INDEX($B$9:$B$19, MATCH(J$8,$A$9:$A$19, 0)+1, 0), INDEX($B$9:$B$19, MATCH(J$8,$A$9:$A$19, 0)+1, 0) - INDEX($B$9:$B$19, MATCH(J$8,$A$9:$A$19, 0), 0) &gt;= 0), INDEX($B$9:$B$19, MATCH(J$8,$A$9:$A$19, 0) +1, 0)-INDEX($B$9:$B$19, MATCH(J$8,$A$9:$A$19, 0), 0)-$I9, MAX($E9-$F9, 0) - INDEX($B$9:$B$19, MATCH(J$8,$A$9:$A$19, 0), 0)), 0)</f>
        <v>0</v>
      </c>
      <c r="K9" s="5">
        <f t="shared" ref="K9:K19" ca="1" si="5">MAX(IF(AND(($E9-$F9)&gt;INDEX($B$9:$B$19, MATCH(K$8,$A$9:$A$19, 0)+1, 0), INDEX($B$9:$B$19, MATCH(K$8,$A$9:$A$19, 0)+1, 0) - INDEX($B$9:$B$19, MATCH(K$8,$A$9:$A$19, 0), 0) &gt;= 0), INDEX($B$9:$B$19, MATCH(K$8,$A$9:$A$19, 0) +1, 0)-INDEX($B$9:$B$19, MATCH(K$8,$A$9:$A$19, 0), 0)+$I9, MAX($E9-$F9, 0) - INDEX($B$9:$B$19, MATCH(K$8,$A$9:$A$19, 0), 0)), 0)</f>
        <v>0</v>
      </c>
      <c r="L9" s="5">
        <f t="shared" ref="L9:T19" ca="1" si="6">MAX(IF(AND(($E9-$F9)&gt;INDEX($B$9:$B$19, MATCH(L$8,$A$9:$A$19, 0)+1, 0), INDEX($B$9:$B$19, MATCH(L$8,$A$9:$A$19, 0)+1, 0) - INDEX($B$9:$B$19, MATCH(L$8,$A$9:$A$19, 0), 0) &gt;= 0), INDEX($B$9:$B$19, MATCH(L$8,$A$9:$A$19, 0) +1, 0)-INDEX($B$9:$B$19, MATCH(L$8,$A$9:$A$19, 0), 0), MAX($E9-$F9, 0) - INDEX($B$9:$B$19, MATCH(L$8,$A$9:$A$19, 0), 0)), 0)</f>
        <v>0</v>
      </c>
      <c r="M9" s="5">
        <f t="shared" ca="1" si="6"/>
        <v>0</v>
      </c>
      <c r="N9" s="5">
        <f t="shared" ca="1" si="6"/>
        <v>0</v>
      </c>
      <c r="O9" s="5">
        <f t="shared" ca="1" si="6"/>
        <v>0</v>
      </c>
      <c r="P9" s="5">
        <f t="shared" ca="1" si="6"/>
        <v>0</v>
      </c>
      <c r="Q9" s="5">
        <f t="shared" ca="1" si="6"/>
        <v>0</v>
      </c>
      <c r="R9" s="5">
        <f t="shared" ca="1" si="6"/>
        <v>0</v>
      </c>
      <c r="S9" s="5">
        <f t="shared" ca="1" si="6"/>
        <v>0</v>
      </c>
      <c r="T9" s="17">
        <f t="shared" ca="1" si="6"/>
        <v>0</v>
      </c>
      <c r="U9" s="16">
        <f t="shared" ref="U9:U19" ca="1" si="7">IFERROR(1 - SUM(V9:AE9), 0)</f>
        <v>1</v>
      </c>
      <c r="V9" s="16">
        <f t="shared" ref="V9:V19" ca="1" si="8">IFERROR(K9/SUM($J9:$T9), 0)</f>
        <v>0</v>
      </c>
      <c r="W9" s="16">
        <f t="shared" ref="W9:W19" ca="1" si="9">IFERROR(L9/SUM($J9:$T9), 0)</f>
        <v>0</v>
      </c>
      <c r="X9" s="16">
        <f t="shared" ref="X9:X19" ca="1" si="10">IFERROR(M9/SUM($J9:$T9), 0)</f>
        <v>0</v>
      </c>
      <c r="Y9" s="16">
        <f t="shared" ref="Y9:Y19" ca="1" si="11">IFERROR(N9/SUM($J9:$T9), 0)</f>
        <v>0</v>
      </c>
      <c r="Z9" s="16">
        <f t="shared" ref="Z9:Z19" ca="1" si="12">IFERROR(O9/SUM($J9:$T9), 0)</f>
        <v>0</v>
      </c>
      <c r="AA9" s="16">
        <f t="shared" ref="AA9:AA19" ca="1" si="13">IFERROR(P9/SUM($J9:$T9), 0)</f>
        <v>0</v>
      </c>
      <c r="AB9" s="16">
        <f t="shared" ref="AB9:AB19" ca="1" si="14">IFERROR(Q9/SUM($J9:$T9), 0)</f>
        <v>0</v>
      </c>
      <c r="AC9" s="16">
        <f t="shared" ref="AC9:AC19" ca="1" si="15">IFERROR(R9/SUM($J9:$T9), 0)</f>
        <v>0</v>
      </c>
      <c r="AD9" s="16">
        <f t="shared" ref="AD9:AD19" ca="1" si="16">IFERROR(S9/SUM($J9:$T9), 0)</f>
        <v>0</v>
      </c>
      <c r="AE9" s="16">
        <f t="shared" ref="AE9:AE19" ca="1" si="17">IFERROR(T9/SUM($J9:$T9), 0)</f>
        <v>0</v>
      </c>
      <c r="AF9" s="23">
        <f ca="1">SUMIFS(INDIRECT("'"&amp;A$7&amp;" - 1040'!$N:$N"), INDIRECT("'"&amp;A$7&amp;" - 1040'!$A:$A"), "&gt;"&amp;INDEX(Console!$A$6:$E$14, MATCH($A9, Console!$A$6:$A$14, 0), MATCH(A$7, Console!$A$6:$E$6, 0)), INDIRECT("'"&amp;A$7&amp;" - 1040'!$A:$A"), IFERROR("&lt;="&amp;IF(INDEX(Console!$A$6:$E$14, MATCH($A9, Console!$A$6:$A$14, 0)+1, MATCH(A$7, Console!$A$6:$E$6, 0))=0, NA(), INDEX(Console!$A$6:$E$14, MATCH($A9, Console!$A$6:$A$14, 0)+1, MATCH(A$7, Console!$A$6:$E$6, 0))),"&gt;0"))</f>
        <v>8090</v>
      </c>
      <c r="AG9" s="16"/>
      <c r="AH9" s="16"/>
    </row>
    <row r="10" spans="1:34" x14ac:dyDescent="0.25">
      <c r="A10" s="20">
        <f>Console!A8</f>
        <v>0.05</v>
      </c>
      <c r="B10" s="8">
        <f>Console!B8</f>
        <v>10000</v>
      </c>
      <c r="C10" s="5">
        <f ca="1">SUMIFS(INDIRECT("'"&amp;A$7&amp;" - 1040'!$G:$G"), INDIRECT("'"&amp;A$7&amp;" - 1040'!$A:$A"), "&gt;"&amp;INDEX(Console!$A$6:$E$14, MATCH($A10, Console!$A$6:$A$14, 0), MATCH(A$7, Console!$A$6:$E$6, 0)), INDIRECT("'"&amp;A$7&amp;" - 1040'!$A:$A"), IFERROR("&lt;="&amp;IF(INDEX(Console!$A$6:$E$14, MATCH($A10, Console!$A$6:$A$14, 0)+1, MATCH(A$7, Console!$A$6:$E$6, 0))=0, NA(), INDEX(Console!$A$6:$E$14, MATCH($A10, Console!$A$6:$A$14, 0)+1, MATCH(A$7, Console!$A$6:$E$6, 0))),"&gt;0"))</f>
        <v>11937221016</v>
      </c>
      <c r="D10" s="5">
        <f ca="1">SUMIFS(INDIRECT("'"&amp;A$7&amp;" - 1040'!$C:$C"), INDIRECT("'"&amp;A$7&amp;" - 1040'!$A:$A"), "&gt;"&amp;INDEX(Console!$A$6:$E$14, MATCH($A10, Console!$A$6:$A$14, 0), MATCH(A$7, Console!$A$6:$E$6, 0)), INDIRECT("'"&amp;A$7&amp;" - 1040'!$A:$A"), IFERROR("&lt;="&amp;IF(INDEX(Console!$A$6:$E$14, MATCH($A10, Console!$A$6:$A$14, 0)+1, MATCH(A$7, Console!$A$6:$E$6, 0))=0, NA(), INDEX(Console!$A$6:$E$14, MATCH($A10, Console!$A$6:$A$14, 0)+1, MATCH(A$7, Console!$A$6:$E$6, 0))),"&gt;0"))</f>
        <v>438176</v>
      </c>
      <c r="E10" s="5">
        <f t="shared" ca="1" si="2"/>
        <v>27242.982308478786</v>
      </c>
      <c r="F10">
        <f ca="1">IF(E10&lt;Console!B$21, Console!B$20, MAX((Console!B$22-E10)/1000*Console!B$23, 0))</f>
        <v>15000</v>
      </c>
      <c r="G10">
        <f ca="1">IF(E10&gt;Console!B$31, MIN((E10-Console!B$31)*Console!B$33/1000, Console!B$32), 0)+IF(E10&gt;Console!B$36, MIN((E10-Console!B$36)*Console!B$38/1000, Console!B$37), 0)</f>
        <v>0</v>
      </c>
      <c r="H10" s="5">
        <f t="shared" ca="1" si="3"/>
        <v>0</v>
      </c>
      <c r="I10" s="18">
        <f ca="1">IF(E10&gt;Console!B$26, IF(E10&lt;Console!B$27, (E10-Console!B$26)*Console!B$28/1000, (Console!B$27-Console!B$26)*Console!B$28/1000), 0)</f>
        <v>0</v>
      </c>
      <c r="J10" s="5">
        <f t="shared" ca="1" si="4"/>
        <v>10000</v>
      </c>
      <c r="K10" s="5">
        <f t="shared" ca="1" si="5"/>
        <v>2242.9823084787859</v>
      </c>
      <c r="L10" s="5">
        <f t="shared" ca="1" si="6"/>
        <v>0</v>
      </c>
      <c r="M10" s="5">
        <f t="shared" ca="1" si="6"/>
        <v>0</v>
      </c>
      <c r="N10" s="5">
        <f t="shared" ca="1" si="6"/>
        <v>0</v>
      </c>
      <c r="O10" s="5">
        <f t="shared" ca="1" si="6"/>
        <v>0</v>
      </c>
      <c r="P10" s="5">
        <f t="shared" ca="1" si="6"/>
        <v>0</v>
      </c>
      <c r="Q10" s="5">
        <f t="shared" ca="1" si="6"/>
        <v>0</v>
      </c>
      <c r="R10" s="5">
        <f t="shared" ca="1" si="6"/>
        <v>0</v>
      </c>
      <c r="S10" s="5">
        <f t="shared" ca="1" si="6"/>
        <v>0</v>
      </c>
      <c r="T10" s="18">
        <f t="shared" ca="1" si="6"/>
        <v>0</v>
      </c>
      <c r="U10" s="16">
        <f t="shared" ca="1" si="7"/>
        <v>0.81679444991720485</v>
      </c>
      <c r="V10" s="16">
        <f t="shared" ca="1" si="8"/>
        <v>0.18320555008279521</v>
      </c>
      <c r="W10" s="16">
        <f t="shared" ca="1" si="9"/>
        <v>0</v>
      </c>
      <c r="X10" s="16">
        <f t="shared" ca="1" si="10"/>
        <v>0</v>
      </c>
      <c r="Y10" s="16">
        <f t="shared" ca="1" si="11"/>
        <v>0</v>
      </c>
      <c r="Z10" s="16">
        <f t="shared" ca="1" si="12"/>
        <v>0</v>
      </c>
      <c r="AA10" s="16">
        <f t="shared" ca="1" si="13"/>
        <v>0</v>
      </c>
      <c r="AB10" s="16">
        <f t="shared" ca="1" si="14"/>
        <v>0</v>
      </c>
      <c r="AC10" s="16">
        <f t="shared" ca="1" si="15"/>
        <v>0</v>
      </c>
      <c r="AD10" s="16">
        <f t="shared" ca="1" si="16"/>
        <v>0</v>
      </c>
      <c r="AE10" s="16">
        <f t="shared" ca="1" si="17"/>
        <v>0</v>
      </c>
      <c r="AF10" s="23">
        <f ca="1">SUMIFS(INDIRECT("'"&amp;A$7&amp;" - 1040'!$N:$N"), INDIRECT("'"&amp;A$7&amp;" - 1040'!$A:$A"), "&gt;"&amp;INDEX(Console!$A$6:$E$14, MATCH($A10, Console!$A$6:$A$14, 0), MATCH(A$7, Console!$A$6:$E$6, 0)), INDIRECT("'"&amp;A$7&amp;" - 1040'!$A:$A"), IFERROR("&lt;="&amp;IF(INDEX(Console!$A$6:$E$14, MATCH($A10, Console!$A$6:$A$14, 0)+1, MATCH(A$7, Console!$A$6:$E$6, 0))=0, NA(), INDEX(Console!$A$6:$E$14, MATCH($A10, Console!$A$6:$A$14, 0)+1, MATCH(A$7, Console!$A$6:$E$6, 0))),"&gt;0"))</f>
        <v>238117337</v>
      </c>
      <c r="AG10" s="16"/>
      <c r="AH10" s="16"/>
    </row>
    <row r="11" spans="1:34" x14ac:dyDescent="0.25">
      <c r="A11" s="20">
        <f>Console!A9</f>
        <v>5.5E-2</v>
      </c>
      <c r="B11" s="8">
        <f>Console!B9</f>
        <v>50000</v>
      </c>
      <c r="C11" s="5">
        <f ca="1">SUMIFS(INDIRECT("'"&amp;A$7&amp;" - 1040'!$G:$G"), INDIRECT("'"&amp;A$7&amp;" - 1040'!$A:$A"), "&gt;"&amp;INDEX(Console!$A$6:$E$14, MATCH($A11, Console!$A$6:$A$14, 0), MATCH(A$7, Console!$A$6:$E$6, 0)), INDIRECT("'"&amp;A$7&amp;" - 1040'!$A:$A"), IFERROR("&lt;="&amp;IF(INDEX(Console!$A$6:$E$14, MATCH($A11, Console!$A$6:$A$14, 0)+1, MATCH(A$7, Console!$A$6:$E$6, 0))=0, NA(), INDEX(Console!$A$6:$E$14, MATCH($A11, Console!$A$6:$A$14, 0)+1, MATCH(A$7, Console!$A$6:$E$6, 0))),"&gt;0"))</f>
        <v>12818888598</v>
      </c>
      <c r="D11" s="5">
        <f ca="1">SUMIFS(INDIRECT("'"&amp;A$7&amp;" - 1040'!$C:$C"), INDIRECT("'"&amp;A$7&amp;" - 1040'!$A:$A"), "&gt;"&amp;INDEX(Console!$A$6:$E$14, MATCH($A11, Console!$A$6:$A$14, 0), MATCH(A$7, Console!$A$6:$E$6, 0)), INDIRECT("'"&amp;A$7&amp;" - 1040'!$A:$A"), IFERROR("&lt;="&amp;IF(INDEX(Console!$A$6:$E$14, MATCH($A11, Console!$A$6:$A$14, 0)+1, MATCH(A$7, Console!$A$6:$E$6, 0))=0, NA(), INDEX(Console!$A$6:$E$14, MATCH($A11, Console!$A$6:$A$14, 0)+1, MATCH(A$7, Console!$A$6:$E$6, 0))),"&gt;0"))</f>
        <v>184610</v>
      </c>
      <c r="E11" s="5">
        <f t="shared" ca="1" si="2"/>
        <v>69437.671837928603</v>
      </c>
      <c r="F11">
        <f ca="1">IF(E11&lt;Console!B$21, Console!B$20, MAX((Console!B$22-E11)/1000*Console!B$23, 0))</f>
        <v>0</v>
      </c>
      <c r="G11">
        <f ca="1">IF(E11&gt;Console!B$31, MIN((E11-Console!B$31)*Console!B$33/1000, Console!B$32), 0)+IF(E11&gt;Console!B$36, MIN((E11-Console!B$36)*Console!B$38/1000, Console!B$37), 0)</f>
        <v>0</v>
      </c>
      <c r="H11" s="5">
        <f t="shared" ca="1" si="3"/>
        <v>0</v>
      </c>
      <c r="I11" s="18">
        <f ca="1">IF(E11&gt;Console!B$26, IF(E11&lt;Console!B$27, (E11-Console!B$26)*Console!B$28/1000, (Console!B$27-Console!B$26)*Console!B$28/1000), 0)</f>
        <v>2587.5343675857207</v>
      </c>
      <c r="J11" s="5">
        <f t="shared" ca="1" si="4"/>
        <v>7412.4656324142798</v>
      </c>
      <c r="K11" s="5">
        <f t="shared" ca="1" si="5"/>
        <v>42587.534367585722</v>
      </c>
      <c r="L11" s="5">
        <f t="shared" ca="1" si="6"/>
        <v>19437.671837928603</v>
      </c>
      <c r="M11" s="5">
        <f t="shared" ca="1" si="6"/>
        <v>0</v>
      </c>
      <c r="N11" s="5">
        <f t="shared" ca="1" si="6"/>
        <v>0</v>
      </c>
      <c r="O11" s="5">
        <f t="shared" ca="1" si="6"/>
        <v>0</v>
      </c>
      <c r="P11" s="5">
        <f t="shared" ca="1" si="6"/>
        <v>0</v>
      </c>
      <c r="Q11" s="5">
        <f t="shared" ca="1" si="6"/>
        <v>0</v>
      </c>
      <c r="R11" s="5">
        <f t="shared" ca="1" si="6"/>
        <v>0</v>
      </c>
      <c r="S11" s="5">
        <f t="shared" ca="1" si="6"/>
        <v>0</v>
      </c>
      <c r="T11" s="18">
        <f t="shared" ca="1" si="6"/>
        <v>0</v>
      </c>
      <c r="U11" s="16">
        <f t="shared" ca="1" si="7"/>
        <v>0.10674991594930472</v>
      </c>
      <c r="V11" s="16">
        <f t="shared" ca="1" si="8"/>
        <v>0.61332030928380488</v>
      </c>
      <c r="W11" s="16">
        <f t="shared" ca="1" si="9"/>
        <v>0.2799297747668904</v>
      </c>
      <c r="X11" s="16">
        <f t="shared" ca="1" si="10"/>
        <v>0</v>
      </c>
      <c r="Y11" s="16">
        <f t="shared" ca="1" si="11"/>
        <v>0</v>
      </c>
      <c r="Z11" s="16">
        <f t="shared" ca="1" si="12"/>
        <v>0</v>
      </c>
      <c r="AA11" s="16">
        <f t="shared" ca="1" si="13"/>
        <v>0</v>
      </c>
      <c r="AB11" s="16">
        <f t="shared" ca="1" si="14"/>
        <v>0</v>
      </c>
      <c r="AC11" s="16">
        <f t="shared" ca="1" si="15"/>
        <v>0</v>
      </c>
      <c r="AD11" s="16">
        <f t="shared" ca="1" si="16"/>
        <v>0</v>
      </c>
      <c r="AE11" s="16">
        <f t="shared" ca="1" si="17"/>
        <v>0</v>
      </c>
      <c r="AF11" s="23">
        <f ca="1">SUMIFS(INDIRECT("'"&amp;A$7&amp;" - 1040'!$N:$N"), INDIRECT("'"&amp;A$7&amp;" - 1040'!$A:$A"), "&gt;"&amp;INDEX(Console!$A$6:$E$14, MATCH($A11, Console!$A$6:$A$14, 0), MATCH(A$7, Console!$A$6:$E$6, 0)), INDIRECT("'"&amp;A$7&amp;" - 1040'!$A:$A"), IFERROR("&lt;="&amp;IF(INDEX(Console!$A$6:$E$14, MATCH($A11, Console!$A$6:$A$14, 0)+1, MATCH(A$7, Console!$A$6:$E$6, 0))=0, NA(), INDEX(Console!$A$6:$E$14, MATCH($A11, Console!$A$6:$A$14, 0)+1, MATCH(A$7, Console!$A$6:$E$6, 0))),"&gt;0"))</f>
        <v>575033822</v>
      </c>
      <c r="AG11" s="16"/>
      <c r="AH11" s="16"/>
    </row>
    <row r="12" spans="1:34" x14ac:dyDescent="0.25">
      <c r="A12" s="20">
        <f>Console!A10</f>
        <v>0.06</v>
      </c>
      <c r="B12" s="8">
        <f>Console!B10</f>
        <v>100000</v>
      </c>
      <c r="C12" s="5">
        <f ca="1">SUMIFS(INDIRECT("'"&amp;A$7&amp;" - 1040'!$G:$G"), INDIRECT("'"&amp;A$7&amp;" - 1040'!$A:$A"), "&gt;"&amp;INDEX(Console!$A$6:$E$14, MATCH($A12, Console!$A$6:$A$14, 0), MATCH(A$7, Console!$A$6:$E$6, 0)), INDIRECT("'"&amp;A$7&amp;" - 1040'!$A:$A"), IFERROR("&lt;="&amp;IF(INDEX(Console!$A$6:$E$14, MATCH($A12, Console!$A$6:$A$14, 0)+1, MATCH(A$7, Console!$A$6:$E$6, 0))=0, NA(), INDEX(Console!$A$6:$E$14, MATCH($A12, Console!$A$6:$A$14, 0)+1, MATCH(A$7, Console!$A$6:$E$6, 0))),"&gt;0"))</f>
        <v>6830129436</v>
      </c>
      <c r="D12" s="5">
        <f ca="1">SUMIFS(INDIRECT("'"&amp;A$7&amp;" - 1040'!$C:$C"), INDIRECT("'"&amp;A$7&amp;" - 1040'!$A:$A"), "&gt;"&amp;INDEX(Console!$A$6:$E$14, MATCH($A12, Console!$A$6:$A$14, 0), MATCH(A$7, Console!$A$6:$E$6, 0)), INDIRECT("'"&amp;A$7&amp;" - 1040'!$A:$A"), IFERROR("&lt;="&amp;IF(INDEX(Console!$A$6:$E$14, MATCH($A12, Console!$A$6:$A$14, 0)+1, MATCH(A$7, Console!$A$6:$E$6, 0))=0, NA(), INDEX(Console!$A$6:$E$14, MATCH($A12, Console!$A$6:$A$14, 0)+1, MATCH(A$7, Console!$A$6:$E$6, 0))),"&gt;0"))</f>
        <v>52134</v>
      </c>
      <c r="E12" s="5">
        <f t="shared" ca="1" si="2"/>
        <v>131011.03763378985</v>
      </c>
      <c r="F12">
        <f ca="1">IF(E12&lt;Console!B$21, Console!B$20, MAX((Console!B$22-E12)/1000*Console!B$23, 0))</f>
        <v>0</v>
      </c>
      <c r="G12">
        <f ca="1">IF(E12&gt;Console!B$31, MIN((E12-Console!B$31)*Console!B$33/1000, Console!B$32), 0)+IF(E12&gt;Console!B$36, MIN((E12-Console!B$36)*Console!B$38/1000, Console!B$37), 0)</f>
        <v>0</v>
      </c>
      <c r="H12" s="5">
        <f t="shared" ca="1" si="3"/>
        <v>0</v>
      </c>
      <c r="I12" s="18">
        <f ca="1">IF(E12&gt;Console!B$26, IF(E12&lt;Console!B$27, (E12-Console!B$26)*Console!B$28/1000, (Console!B$27-Console!B$26)*Console!B$28/1000), 0)</f>
        <v>10000</v>
      </c>
      <c r="J12" s="5">
        <f t="shared" ca="1" si="4"/>
        <v>0</v>
      </c>
      <c r="K12" s="5">
        <f t="shared" ca="1" si="5"/>
        <v>50000</v>
      </c>
      <c r="L12" s="5">
        <f t="shared" ca="1" si="6"/>
        <v>50000</v>
      </c>
      <c r="M12" s="5">
        <f t="shared" ca="1" si="6"/>
        <v>31011.037633789849</v>
      </c>
      <c r="N12" s="5">
        <f t="shared" ca="1" si="6"/>
        <v>0</v>
      </c>
      <c r="O12" s="5">
        <f t="shared" ca="1" si="6"/>
        <v>0</v>
      </c>
      <c r="P12" s="5">
        <f t="shared" ca="1" si="6"/>
        <v>0</v>
      </c>
      <c r="Q12" s="5">
        <f t="shared" ca="1" si="6"/>
        <v>0</v>
      </c>
      <c r="R12" s="5">
        <f t="shared" ca="1" si="6"/>
        <v>0</v>
      </c>
      <c r="S12" s="5">
        <f t="shared" ca="1" si="6"/>
        <v>0</v>
      </c>
      <c r="T12" s="18">
        <f t="shared" ca="1" si="6"/>
        <v>0</v>
      </c>
      <c r="U12" s="16">
        <f t="shared" ca="1" si="7"/>
        <v>0</v>
      </c>
      <c r="V12" s="16">
        <f t="shared" ca="1" si="8"/>
        <v>0.38164723295882208</v>
      </c>
      <c r="W12" s="16">
        <f t="shared" ca="1" si="9"/>
        <v>0.38164723295882208</v>
      </c>
      <c r="X12" s="16">
        <f t="shared" ca="1" si="10"/>
        <v>0.23670553408235587</v>
      </c>
      <c r="Y12" s="16">
        <f t="shared" ca="1" si="11"/>
        <v>0</v>
      </c>
      <c r="Z12" s="16">
        <f t="shared" ca="1" si="12"/>
        <v>0</v>
      </c>
      <c r="AA12" s="16">
        <f t="shared" ca="1" si="13"/>
        <v>0</v>
      </c>
      <c r="AB12" s="16">
        <f t="shared" ca="1" si="14"/>
        <v>0</v>
      </c>
      <c r="AC12" s="16">
        <f t="shared" ca="1" si="15"/>
        <v>0</v>
      </c>
      <c r="AD12" s="16">
        <f t="shared" ca="1" si="16"/>
        <v>0</v>
      </c>
      <c r="AE12" s="16">
        <f t="shared" ca="1" si="17"/>
        <v>0</v>
      </c>
      <c r="AF12" s="23">
        <f ca="1">SUMIFS(INDIRECT("'"&amp;A$7&amp;" - 1040'!$N:$N"), INDIRECT("'"&amp;A$7&amp;" - 1040'!$A:$A"), "&gt;"&amp;INDEX(Console!$A$6:$E$14, MATCH($A12, Console!$A$6:$A$14, 0), MATCH(A$7, Console!$A$6:$E$6, 0)), INDIRECT("'"&amp;A$7&amp;" - 1040'!$A:$A"), IFERROR("&lt;="&amp;IF(INDEX(Console!$A$6:$E$14, MATCH($A12, Console!$A$6:$A$14, 0)+1, MATCH(A$7, Console!$A$6:$E$6, 0))=0, NA(), INDEX(Console!$A$6:$E$14, MATCH($A12, Console!$A$6:$A$14, 0)+1, MATCH(A$7, Console!$A$6:$E$6, 0))),"&gt;0"))</f>
        <v>335152467</v>
      </c>
      <c r="AG12" s="16"/>
      <c r="AH12" s="16"/>
    </row>
    <row r="13" spans="1:34" x14ac:dyDescent="0.25">
      <c r="A13" s="20">
        <f>Console!A11</f>
        <v>6.5000000000000002E-2</v>
      </c>
      <c r="B13" s="8">
        <f>Console!B11</f>
        <v>200000</v>
      </c>
      <c r="C13" s="5">
        <f ca="1">SUMIFS(INDIRECT("'"&amp;A$7&amp;" - 1040'!$G:$G"), INDIRECT("'"&amp;A$7&amp;" - 1040'!$A:$A"), "&gt;"&amp;INDEX(Console!$A$6:$E$14, MATCH($A13, Console!$A$6:$A$14, 0), MATCH(A$7, Console!$A$6:$E$6, 0)), INDIRECT("'"&amp;A$7&amp;" - 1040'!$A:$A"), IFERROR("&lt;="&amp;IF(INDEX(Console!$A$6:$E$14, MATCH($A13, Console!$A$6:$A$14, 0)+1, MATCH(A$7, Console!$A$6:$E$6, 0))=0, NA(), INDEX(Console!$A$6:$E$14, MATCH($A13, Console!$A$6:$A$14, 0)+1, MATCH(A$7, Console!$A$6:$E$6, 0))),"&gt;0"))</f>
        <v>1078576701</v>
      </c>
      <c r="D13" s="5">
        <f ca="1">SUMIFS(INDIRECT("'"&amp;A$7&amp;" - 1040'!$C:$C"), INDIRECT("'"&amp;A$7&amp;" - 1040'!$A:$A"), "&gt;"&amp;INDEX(Console!$A$6:$E$14, MATCH($A13, Console!$A$6:$A$14, 0), MATCH(A$7, Console!$A$6:$E$6, 0)), INDIRECT("'"&amp;A$7&amp;" - 1040'!$A:$A"), IFERROR("&lt;="&amp;IF(INDEX(Console!$A$6:$E$14, MATCH($A13, Console!$A$6:$A$14, 0)+1, MATCH(A$7, Console!$A$6:$E$6, 0))=0, NA(), INDEX(Console!$A$6:$E$14, MATCH($A13, Console!$A$6:$A$14, 0)+1, MATCH(A$7, Console!$A$6:$E$6, 0))),"&gt;0"))</f>
        <v>4859</v>
      </c>
      <c r="E13" s="5">
        <f t="shared" ca="1" si="2"/>
        <v>221975.03622144475</v>
      </c>
      <c r="F13">
        <f ca="1">IF(E13&lt;Console!B$21, Console!B$20, MAX((Console!B$22-E13)/1000*Console!B$23, 0))</f>
        <v>0</v>
      </c>
      <c r="G13">
        <f ca="1">IF(E13&gt;Console!B$31, MIN((E13-Console!B$31)*Console!B$33/1000, Console!B$32), 0)+IF(E13&gt;Console!B$36, MIN((E13-Console!B$36)*Console!B$38/1000, Console!B$37), 0)</f>
        <v>395.55065198600556</v>
      </c>
      <c r="H13" s="5">
        <f t="shared" ca="1" si="3"/>
        <v>1921980.6180000009</v>
      </c>
      <c r="I13" s="18">
        <f ca="1">IF(E13&gt;Console!B$26, IF(E13&lt;Console!B$27, (E13-Console!B$26)*Console!B$28/1000, (Console!B$27-Console!B$26)*Console!B$28/1000), 0)</f>
        <v>10000</v>
      </c>
      <c r="J13" s="5">
        <f t="shared" ca="1" si="4"/>
        <v>0</v>
      </c>
      <c r="K13" s="5">
        <f t="shared" ca="1" si="5"/>
        <v>50000</v>
      </c>
      <c r="L13" s="5">
        <f t="shared" ca="1" si="6"/>
        <v>50000</v>
      </c>
      <c r="M13" s="5">
        <f t="shared" ca="1" si="6"/>
        <v>100000</v>
      </c>
      <c r="N13" s="5">
        <f t="shared" ca="1" si="6"/>
        <v>21975.036221444752</v>
      </c>
      <c r="O13" s="5">
        <f t="shared" ca="1" si="6"/>
        <v>0</v>
      </c>
      <c r="P13" s="5">
        <f t="shared" ca="1" si="6"/>
        <v>0</v>
      </c>
      <c r="Q13" s="5">
        <f t="shared" ca="1" si="6"/>
        <v>0</v>
      </c>
      <c r="R13" s="5">
        <f t="shared" ca="1" si="6"/>
        <v>0</v>
      </c>
      <c r="S13" s="5">
        <f t="shared" ca="1" si="6"/>
        <v>0</v>
      </c>
      <c r="T13" s="18">
        <f t="shared" ca="1" si="6"/>
        <v>0</v>
      </c>
      <c r="U13" s="16">
        <f t="shared" ca="1" si="7"/>
        <v>0</v>
      </c>
      <c r="V13" s="16">
        <f t="shared" ca="1" si="8"/>
        <v>0.2252505545268588</v>
      </c>
      <c r="W13" s="16">
        <f t="shared" ca="1" si="9"/>
        <v>0.2252505545268588</v>
      </c>
      <c r="X13" s="16">
        <f t="shared" ca="1" si="10"/>
        <v>0.4505011090537176</v>
      </c>
      <c r="Y13" s="16">
        <f t="shared" ca="1" si="11"/>
        <v>9.8997781892564765E-2</v>
      </c>
      <c r="Z13" s="16">
        <f t="shared" ca="1" si="12"/>
        <v>0</v>
      </c>
      <c r="AA13" s="16">
        <f t="shared" ca="1" si="13"/>
        <v>0</v>
      </c>
      <c r="AB13" s="16">
        <f t="shared" ca="1" si="14"/>
        <v>0</v>
      </c>
      <c r="AC13" s="16">
        <f t="shared" ca="1" si="15"/>
        <v>0</v>
      </c>
      <c r="AD13" s="16">
        <f t="shared" ca="1" si="16"/>
        <v>0</v>
      </c>
      <c r="AE13" s="16">
        <f t="shared" ca="1" si="17"/>
        <v>0</v>
      </c>
      <c r="AF13" s="23">
        <f ca="1">SUMIFS(INDIRECT("'"&amp;A$7&amp;" - 1040'!$N:$N"), INDIRECT("'"&amp;A$7&amp;" - 1040'!$A:$A"), "&gt;"&amp;INDEX(Console!$A$6:$E$14, MATCH($A13, Console!$A$6:$A$14, 0), MATCH(A$7, Console!$A$6:$E$6, 0)), INDIRECT("'"&amp;A$7&amp;" - 1040'!$A:$A"), IFERROR("&lt;="&amp;IF(INDEX(Console!$A$6:$E$14, MATCH($A13, Console!$A$6:$A$14, 0)+1, MATCH(A$7, Console!$A$6:$E$6, 0))=0, NA(), INDEX(Console!$A$6:$E$14, MATCH($A13, Console!$A$6:$A$14, 0)+1, MATCH(A$7, Console!$A$6:$E$6, 0))),"&gt;0"))</f>
        <v>56032744</v>
      </c>
      <c r="AG13" s="16"/>
      <c r="AH13" s="16"/>
    </row>
    <row r="14" spans="1:34" x14ac:dyDescent="0.25">
      <c r="A14" s="20">
        <f>Console!A12</f>
        <v>6.9000000000000006E-2</v>
      </c>
      <c r="B14" s="8">
        <f>Console!B12</f>
        <v>250000</v>
      </c>
      <c r="C14" s="5">
        <f ca="1">SUMIFS(INDIRECT("'"&amp;A$7&amp;" - 1040'!$G:$G"), INDIRECT("'"&amp;A$7&amp;" - 1040'!$A:$A"), "&gt;"&amp;INDEX(Console!$A$6:$E$14, MATCH($A14, Console!$A$6:$A$14, 0), MATCH(A$7, Console!$A$6:$E$6, 0)), INDIRECT("'"&amp;A$7&amp;" - 1040'!$A:$A"), IFERROR("&lt;="&amp;IF(INDEX(Console!$A$6:$E$14, MATCH($A14, Console!$A$6:$A$14, 0)+1, MATCH(A$7, Console!$A$6:$E$6, 0))=0, NA(), INDEX(Console!$A$6:$E$14, MATCH($A14, Console!$A$6:$A$14, 0)+1, MATCH(A$7, Console!$A$6:$E$6, 0))),"&gt;0"))</f>
        <v>2163548214</v>
      </c>
      <c r="D14" s="5">
        <f ca="1">SUMIFS(INDIRECT("'"&amp;A$7&amp;" - 1040'!$C:$C"), INDIRECT("'"&amp;A$7&amp;" - 1040'!$A:$A"), "&gt;"&amp;INDEX(Console!$A$6:$E$14, MATCH($A14, Console!$A$6:$A$14, 0), MATCH(A$7, Console!$A$6:$E$6, 0)), INDIRECT("'"&amp;A$7&amp;" - 1040'!$A:$A"), IFERROR("&lt;="&amp;IF(INDEX(Console!$A$6:$E$14, MATCH($A14, Console!$A$6:$A$14, 0)+1, MATCH(A$7, Console!$A$6:$E$6, 0))=0, NA(), INDEX(Console!$A$6:$E$14, MATCH($A14, Console!$A$6:$A$14, 0)+1, MATCH(A$7, Console!$A$6:$E$6, 0))),"&gt;0"))</f>
        <v>6467</v>
      </c>
      <c r="E14" s="5">
        <f t="shared" ca="1" si="2"/>
        <v>334552.06649141799</v>
      </c>
      <c r="F14">
        <f ca="1">IF(E14&lt;Console!B$21, Console!B$20, MAX((Console!B$22-E14)/1000*Console!B$23, 0))</f>
        <v>0</v>
      </c>
      <c r="G14">
        <f ca="1">IF(E14&gt;Console!B$31, MIN((E14-Console!B$31)*Console!B$33/1000, Console!B$32), 0)+IF(E14&gt;Console!B$36, MIN((E14-Console!B$36)*Console!B$38/1000, Console!B$37), 0)</f>
        <v>2421.9371968455239</v>
      </c>
      <c r="H14" s="5">
        <f t="shared" ca="1" si="3"/>
        <v>15662667.852000004</v>
      </c>
      <c r="I14" s="18">
        <f ca="1">IF(E14&gt;Console!B$26, IF(E14&lt;Console!B$27, (E14-Console!B$26)*Console!B$28/1000, (Console!B$27-Console!B$26)*Console!B$28/1000), 0)</f>
        <v>10000</v>
      </c>
      <c r="J14" s="5">
        <f t="shared" ca="1" si="4"/>
        <v>0</v>
      </c>
      <c r="K14" s="5">
        <f t="shared" ca="1" si="5"/>
        <v>50000</v>
      </c>
      <c r="L14" s="5">
        <f t="shared" ca="1" si="6"/>
        <v>50000</v>
      </c>
      <c r="M14" s="5">
        <f t="shared" ca="1" si="6"/>
        <v>100000</v>
      </c>
      <c r="N14" s="5">
        <f t="shared" ca="1" si="6"/>
        <v>50000</v>
      </c>
      <c r="O14" s="5">
        <f t="shared" ca="1" si="6"/>
        <v>84552.066491417994</v>
      </c>
      <c r="P14" s="5">
        <f t="shared" ca="1" si="6"/>
        <v>0</v>
      </c>
      <c r="Q14" s="5">
        <f t="shared" ca="1" si="6"/>
        <v>0</v>
      </c>
      <c r="R14" s="5">
        <f t="shared" ca="1" si="6"/>
        <v>0</v>
      </c>
      <c r="S14" s="5">
        <f t="shared" ca="1" si="6"/>
        <v>0</v>
      </c>
      <c r="T14" s="18">
        <f t="shared" ca="1" si="6"/>
        <v>0</v>
      </c>
      <c r="U14" s="16">
        <f t="shared" ca="1" si="7"/>
        <v>0</v>
      </c>
      <c r="V14" s="16">
        <f t="shared" ca="1" si="8"/>
        <v>0.14945356794345974</v>
      </c>
      <c r="W14" s="16">
        <f t="shared" ca="1" si="9"/>
        <v>0.14945356794345974</v>
      </c>
      <c r="X14" s="16">
        <f t="shared" ca="1" si="10"/>
        <v>0.29890713588691947</v>
      </c>
      <c r="Y14" s="16">
        <f t="shared" ca="1" si="11"/>
        <v>0.14945356794345974</v>
      </c>
      <c r="Z14" s="16">
        <f t="shared" ca="1" si="12"/>
        <v>0.25273216028270129</v>
      </c>
      <c r="AA14" s="16">
        <f t="shared" ca="1" si="13"/>
        <v>0</v>
      </c>
      <c r="AB14" s="16">
        <f t="shared" ca="1" si="14"/>
        <v>0</v>
      </c>
      <c r="AC14" s="16">
        <f t="shared" ca="1" si="15"/>
        <v>0</v>
      </c>
      <c r="AD14" s="16">
        <f t="shared" ca="1" si="16"/>
        <v>0</v>
      </c>
      <c r="AE14" s="16">
        <f t="shared" ca="1" si="17"/>
        <v>0</v>
      </c>
      <c r="AF14" s="23">
        <f ca="1">SUMIFS(INDIRECT("'"&amp;A$7&amp;" - 1040'!$N:$N"), INDIRECT("'"&amp;A$7&amp;" - 1040'!$A:$A"), "&gt;"&amp;INDEX(Console!$A$6:$E$14, MATCH($A14, Console!$A$6:$A$14, 0), MATCH(A$7, Console!$A$6:$E$6, 0)), INDIRECT("'"&amp;A$7&amp;" - 1040'!$A:$A"), IFERROR("&lt;="&amp;IF(INDEX(Console!$A$6:$E$14, MATCH($A14, Console!$A$6:$A$14, 0)+1, MATCH(A$7, Console!$A$6:$E$6, 0))=0, NA(), INDEX(Console!$A$6:$E$14, MATCH($A14, Console!$A$6:$A$14, 0)+1, MATCH(A$7, Console!$A$6:$E$6, 0))),"&gt;0"))</f>
        <v>125094113</v>
      </c>
      <c r="AG14" s="16"/>
      <c r="AH14" s="16"/>
    </row>
    <row r="15" spans="1:34" x14ac:dyDescent="0.25">
      <c r="A15" s="20">
        <f>Console!A13</f>
        <v>6.9900000000000004E-2</v>
      </c>
      <c r="B15" s="8">
        <f>Console!B13</f>
        <v>500000</v>
      </c>
      <c r="C15" s="5">
        <f ca="1">SUMIFS(INDIRECT("'"&amp;A$7&amp;" - 1040'!$G:$G"), INDIRECT("'"&amp;A$7&amp;" - 1040'!$A:$A"), "&gt;"&amp;INDEX(Console!$A$6:$E$14, MATCH($A15, Console!$A$6:$A$14, 0), MATCH(A$7, Console!$A$6:$E$6, 0)), INDIRECT("'"&amp;A$7&amp;" - 1040'!$A:$A"), IFERROR("&lt;="&amp;IF(INDEX(Console!$A$6:$E$14, MATCH($A15, Console!$A$6:$A$14, 0)+1, MATCH(A$7, Console!$A$6:$E$6, 0))=0, NA(), INDEX(Console!$A$6:$E$14, MATCH($A15, Console!$A$6:$A$14, 0)+1, MATCH(A$7, Console!$A$6:$E$6, 0))),"&gt;0"))</f>
        <v>4765119161</v>
      </c>
      <c r="D15" s="5">
        <f ca="1">SUMIFS(INDIRECT("'"&amp;A$7&amp;" - 1040'!$C:$C"), INDIRECT("'"&amp;A$7&amp;" - 1040'!$A:$A"), "&gt;"&amp;INDEX(Console!$A$6:$E$14, MATCH($A15, Console!$A$6:$A$14, 0), MATCH(A$7, Console!$A$6:$E$6, 0)), INDIRECT("'"&amp;A$7&amp;" - 1040'!$A:$A"), IFERROR("&lt;="&amp;IF(INDEX(Console!$A$6:$E$14, MATCH($A15, Console!$A$6:$A$14, 0)+1, MATCH(A$7, Console!$A$6:$E$6, 0))=0, NA(), INDEX(Console!$A$6:$E$14, MATCH($A15, Console!$A$6:$A$14, 0)+1, MATCH(A$7, Console!$A$6:$E$6, 0))),"&gt;0"))</f>
        <v>2830</v>
      </c>
      <c r="E15" s="5">
        <f t="shared" ca="1" si="2"/>
        <v>1683787.6893992934</v>
      </c>
      <c r="F15">
        <f ca="1">IF(E15&lt;Console!B$21, Console!B$20, MAX((Console!B$22-E15)/1000*Console!B$23, 0))</f>
        <v>0</v>
      </c>
      <c r="G15">
        <f ca="1">IF(E15&gt;Console!B$31, MIN((E15-Console!B$31)*Console!B$33/1000, Console!B$32), 0)+IF(E15&gt;Console!B$36, MIN((E15-Console!B$36)*Console!B$38/1000, Console!B$37), 0)</f>
        <v>3150</v>
      </c>
      <c r="H15" s="5">
        <f t="shared" ca="1" si="3"/>
        <v>8914500</v>
      </c>
      <c r="I15" s="18">
        <f ca="1">IF(E15&gt;Console!B$26, IF(E15&lt;Console!B$27, (E15-Console!B$26)*Console!B$28/1000, (Console!B$27-Console!B$26)*Console!B$28/1000), 0)</f>
        <v>10000</v>
      </c>
      <c r="J15" s="5">
        <f t="shared" ca="1" si="4"/>
        <v>0</v>
      </c>
      <c r="K15" s="5">
        <f t="shared" ca="1" si="5"/>
        <v>50000</v>
      </c>
      <c r="L15" s="5">
        <f t="shared" ca="1" si="6"/>
        <v>50000</v>
      </c>
      <c r="M15" s="5">
        <f t="shared" ca="1" si="6"/>
        <v>100000</v>
      </c>
      <c r="N15" s="5">
        <f t="shared" ca="1" si="6"/>
        <v>50000</v>
      </c>
      <c r="O15" s="5">
        <f t="shared" ca="1" si="6"/>
        <v>250000</v>
      </c>
      <c r="P15" s="5">
        <f t="shared" ca="1" si="6"/>
        <v>1183787.6893992934</v>
      </c>
      <c r="Q15" s="5">
        <f t="shared" ca="1" si="6"/>
        <v>0</v>
      </c>
      <c r="R15" s="5">
        <f t="shared" ca="1" si="6"/>
        <v>0</v>
      </c>
      <c r="S15" s="5">
        <f t="shared" ca="1" si="6"/>
        <v>0</v>
      </c>
      <c r="T15" s="18">
        <f t="shared" ca="1" si="6"/>
        <v>0</v>
      </c>
      <c r="U15" s="16">
        <f t="shared" ca="1" si="7"/>
        <v>0</v>
      </c>
      <c r="V15" s="16">
        <f t="shared" ca="1" si="8"/>
        <v>2.9694955198204327E-2</v>
      </c>
      <c r="W15" s="16">
        <f t="shared" ca="1" si="9"/>
        <v>2.9694955198204327E-2</v>
      </c>
      <c r="X15" s="16">
        <f t="shared" ca="1" si="10"/>
        <v>5.9389910396408653E-2</v>
      </c>
      <c r="Y15" s="16">
        <f t="shared" ca="1" si="11"/>
        <v>2.9694955198204327E-2</v>
      </c>
      <c r="Z15" s="16">
        <f t="shared" ca="1" si="12"/>
        <v>0.14847477599102163</v>
      </c>
      <c r="AA15" s="16">
        <f t="shared" ca="1" si="13"/>
        <v>0.70305044801795669</v>
      </c>
      <c r="AB15" s="16">
        <f t="shared" ca="1" si="14"/>
        <v>0</v>
      </c>
      <c r="AC15" s="16">
        <f t="shared" ca="1" si="15"/>
        <v>0</v>
      </c>
      <c r="AD15" s="16">
        <f t="shared" ca="1" si="16"/>
        <v>0</v>
      </c>
      <c r="AE15" s="16">
        <f t="shared" ca="1" si="17"/>
        <v>0</v>
      </c>
      <c r="AF15" s="23">
        <f ca="1">SUMIFS(INDIRECT("'"&amp;A$7&amp;" - 1040'!$N:$N"), INDIRECT("'"&amp;A$7&amp;" - 1040'!$A:$A"), "&gt;"&amp;INDEX(Console!$A$6:$E$14, MATCH($A15, Console!$A$6:$A$14, 0), MATCH(A$7, Console!$A$6:$E$6, 0)), INDIRECT("'"&amp;A$7&amp;" - 1040'!$A:$A"), IFERROR("&lt;="&amp;IF(INDEX(Console!$A$6:$E$14, MATCH($A15, Console!$A$6:$A$14, 0)+1, MATCH(A$7, Console!$A$6:$E$6, 0))=0, NA(), INDEX(Console!$A$6:$E$14, MATCH($A15, Console!$A$6:$A$14, 0)+1, MATCH(A$7, Console!$A$6:$E$6, 0))),"&gt;0"))</f>
        <v>272393109</v>
      </c>
      <c r="AG15" s="16"/>
      <c r="AH15" s="16"/>
    </row>
    <row r="16" spans="1:34" x14ac:dyDescent="0.25">
      <c r="A16" s="20">
        <f>Console!A14</f>
        <v>0</v>
      </c>
      <c r="B16" s="8">
        <f>Console!B14</f>
        <v>0</v>
      </c>
      <c r="C16" s="5">
        <f ca="1">SUMIFS(INDIRECT("'"&amp;A$7&amp;" - 1040'!$G:$G"), INDIRECT("'"&amp;A$7&amp;" - 1040'!$A:$A"), "&gt;"&amp;INDEX(Console!$A$6:$E$14, MATCH($A16, Console!$A$6:$A$14, 0), MATCH(A$7, Console!$A$6:$E$6, 0)), INDIRECT("'"&amp;A$7&amp;" - 1040'!$A:$A"), IFERROR("&lt;="&amp;IF(INDEX(Console!$A$6:$E$14, MATCH($A16, Console!$A$6:$A$14, 0)+1, MATCH(A$7, Console!$A$6:$E$6, 0))=0, NA(), INDEX(Console!$A$6:$E$14, MATCH($A16, Console!$A$6:$A$14, 0)+1, MATCH(A$7, Console!$A$6:$E$6, 0))),"&gt;0"))</f>
        <v>0</v>
      </c>
      <c r="D16" s="5">
        <f ca="1">SUMIFS(INDIRECT("'"&amp;A$7&amp;" - 1040'!$C:$C"), INDIRECT("'"&amp;A$7&amp;" - 1040'!$A:$A"), "&gt;"&amp;INDEX(Console!$A$6:$E$14, MATCH($A16, Console!$A$6:$A$14, 0), MATCH(A$7, Console!$A$6:$E$6, 0)), INDIRECT("'"&amp;A$7&amp;" - 1040'!$A:$A"), IFERROR("&lt;="&amp;IF(INDEX(Console!$A$6:$E$14, MATCH($A16, Console!$A$6:$A$14, 0)+1, MATCH(A$7, Console!$A$6:$E$6, 0))=0, NA(), INDEX(Console!$A$6:$E$14, MATCH($A16, Console!$A$6:$A$14, 0)+1, MATCH(A$7, Console!$A$6:$E$6, 0))),"&gt;0"))</f>
        <v>0</v>
      </c>
      <c r="E16" s="5">
        <f t="shared" ca="1" si="2"/>
        <v>0</v>
      </c>
      <c r="F16">
        <f ca="1">IF(E16&lt;Console!B$21, Console!B$20, MAX((Console!B$22-E16)/1000*Console!B$23, 0))</f>
        <v>15000</v>
      </c>
      <c r="G16">
        <f ca="1">IF(E16&gt;Console!B$31, MIN((E16-Console!B$31)*Console!B$33/1000, Console!B$32), 0)+IF(E16&gt;Console!B$36, MIN((E16-Console!B$36)*Console!B$38/1000, Console!B$37), 0)</f>
        <v>0</v>
      </c>
      <c r="H16" s="5">
        <f t="shared" ca="1" si="3"/>
        <v>0</v>
      </c>
      <c r="I16" s="18">
        <f ca="1">IF(E16&gt;Console!B$26, IF(E16&lt;Console!B$27, (E16-Console!B$26)*Console!B$28/1000, (Console!B$27-Console!B$26)*Console!B$28/1000), 0)</f>
        <v>0</v>
      </c>
      <c r="J16" s="5">
        <f t="shared" ca="1" si="4"/>
        <v>0</v>
      </c>
      <c r="K16" s="5">
        <f t="shared" ca="1" si="5"/>
        <v>0</v>
      </c>
      <c r="L16" s="5">
        <f t="shared" ca="1" si="6"/>
        <v>0</v>
      </c>
      <c r="M16" s="5">
        <f t="shared" ca="1" si="6"/>
        <v>0</v>
      </c>
      <c r="N16" s="5">
        <f t="shared" ca="1" si="6"/>
        <v>0</v>
      </c>
      <c r="O16" s="5">
        <f t="shared" ca="1" si="6"/>
        <v>0</v>
      </c>
      <c r="P16" s="5">
        <f t="shared" ca="1" si="6"/>
        <v>0</v>
      </c>
      <c r="Q16" s="5">
        <f t="shared" ca="1" si="6"/>
        <v>0</v>
      </c>
      <c r="R16" s="5">
        <f t="shared" ca="1" si="6"/>
        <v>0</v>
      </c>
      <c r="S16" s="5">
        <f t="shared" ca="1" si="6"/>
        <v>0</v>
      </c>
      <c r="T16" s="18">
        <f t="shared" ca="1" si="6"/>
        <v>0</v>
      </c>
      <c r="U16" s="16">
        <f t="shared" ca="1" si="7"/>
        <v>1</v>
      </c>
      <c r="V16" s="16">
        <f t="shared" ca="1" si="8"/>
        <v>0</v>
      </c>
      <c r="W16" s="16">
        <f t="shared" ca="1" si="9"/>
        <v>0</v>
      </c>
      <c r="X16" s="16">
        <f t="shared" ca="1" si="10"/>
        <v>0</v>
      </c>
      <c r="Y16" s="16">
        <f t="shared" ca="1" si="11"/>
        <v>0</v>
      </c>
      <c r="Z16" s="16">
        <f t="shared" ca="1" si="12"/>
        <v>0</v>
      </c>
      <c r="AA16" s="16">
        <f t="shared" ca="1" si="13"/>
        <v>0</v>
      </c>
      <c r="AB16" s="16">
        <f t="shared" ca="1" si="14"/>
        <v>0</v>
      </c>
      <c r="AC16" s="16">
        <f t="shared" ca="1" si="15"/>
        <v>0</v>
      </c>
      <c r="AD16" s="16">
        <f t="shared" ca="1" si="16"/>
        <v>0</v>
      </c>
      <c r="AE16" s="16">
        <f t="shared" ca="1" si="17"/>
        <v>0</v>
      </c>
      <c r="AF16" s="23">
        <f ca="1">SUMIFS(INDIRECT("'"&amp;A$7&amp;" - 1040'!$N:$N"), INDIRECT("'"&amp;A$7&amp;" - 1040'!$A:$A"), "&gt;"&amp;INDEX(Console!$A$6:$E$14, MATCH($A16, Console!$A$6:$A$14, 0), MATCH(A$7, Console!$A$6:$E$6, 0)), INDIRECT("'"&amp;A$7&amp;" - 1040'!$A:$A"), IFERROR("&lt;="&amp;IF(INDEX(Console!$A$6:$E$14, MATCH($A16, Console!$A$6:$A$14, 0)+1, MATCH(A$7, Console!$A$6:$E$6, 0))=0, NA(), INDEX(Console!$A$6:$E$14, MATCH($A16, Console!$A$6:$A$14, 0)+1, MATCH(A$7, Console!$A$6:$E$6, 0))),"&gt;0"))</f>
        <v>0</v>
      </c>
      <c r="AG16" s="16"/>
      <c r="AH16" s="16"/>
    </row>
    <row r="17" spans="1:34" x14ac:dyDescent="0.25">
      <c r="A17" s="20">
        <f>Console!A15</f>
        <v>0</v>
      </c>
      <c r="B17" s="8">
        <f>Console!B15</f>
        <v>0</v>
      </c>
      <c r="C17" s="5">
        <f ca="1">SUMIFS(INDIRECT("'"&amp;A$7&amp;" - 1040'!$G:$G"), INDIRECT("'"&amp;A$7&amp;" - 1040'!$A:$A"), "&gt;"&amp;INDEX(Console!$A$6:$E$14, MATCH($A17, Console!$A$6:$A$14, 0), MATCH(A$7, Console!$A$6:$E$6, 0)), INDIRECT("'"&amp;A$7&amp;" - 1040'!$A:$A"), IFERROR("&lt;="&amp;IF(INDEX(Console!$A$6:$E$14, MATCH($A17, Console!$A$6:$A$14, 0)+1, MATCH(A$7, Console!$A$6:$E$6, 0))=0, NA(), INDEX(Console!$A$6:$E$14, MATCH($A17, Console!$A$6:$A$14, 0)+1, MATCH(A$7, Console!$A$6:$E$6, 0))),"&gt;0"))</f>
        <v>0</v>
      </c>
      <c r="D17" s="5">
        <f ca="1">SUMIFS(INDIRECT("'"&amp;A$7&amp;" - 1040'!$C:$C"), INDIRECT("'"&amp;A$7&amp;" - 1040'!$A:$A"), "&gt;"&amp;INDEX(Console!$A$6:$E$14, MATCH($A17, Console!$A$6:$A$14, 0), MATCH(A$7, Console!$A$6:$E$6, 0)), INDIRECT("'"&amp;A$7&amp;" - 1040'!$A:$A"), IFERROR("&lt;="&amp;IF(INDEX(Console!$A$6:$E$14, MATCH($A17, Console!$A$6:$A$14, 0)+1, MATCH(A$7, Console!$A$6:$E$6, 0))=0, NA(), INDEX(Console!$A$6:$E$14, MATCH($A17, Console!$A$6:$A$14, 0)+1, MATCH(A$7, Console!$A$6:$E$6, 0))),"&gt;0"))</f>
        <v>0</v>
      </c>
      <c r="E17" s="5">
        <f t="shared" ca="1" si="2"/>
        <v>0</v>
      </c>
      <c r="F17">
        <f ca="1">IF(E17&lt;Console!B$21, Console!B$20, MAX((Console!B$22-E17)/1000*Console!B$23, 0))</f>
        <v>15000</v>
      </c>
      <c r="G17">
        <f ca="1">IF(E17&gt;Console!B$31, MIN((E17-Console!B$31)*Console!B$33/1000, Console!B$32), 0)+IF(E17&gt;Console!B$36, MIN((E17-Console!B$36)*Console!B$38/1000, Console!B$37), 0)</f>
        <v>0</v>
      </c>
      <c r="H17" s="5">
        <f t="shared" ca="1" si="3"/>
        <v>0</v>
      </c>
      <c r="I17" s="18">
        <f ca="1">IF(E17&gt;Console!B$26, IF(E17&lt;Console!B$27, (E17-Console!B$26)*Console!B$28/1000, (Console!B$27-Console!B$26)*Console!B$28/1000), 0)</f>
        <v>0</v>
      </c>
      <c r="J17" s="5">
        <f t="shared" ca="1" si="4"/>
        <v>0</v>
      </c>
      <c r="K17" s="5">
        <f t="shared" ca="1" si="5"/>
        <v>0</v>
      </c>
      <c r="L17" s="5">
        <f t="shared" ca="1" si="6"/>
        <v>0</v>
      </c>
      <c r="M17" s="5">
        <f t="shared" ca="1" si="6"/>
        <v>0</v>
      </c>
      <c r="N17" s="5">
        <f t="shared" ca="1" si="6"/>
        <v>0</v>
      </c>
      <c r="O17" s="5">
        <f t="shared" ca="1" si="6"/>
        <v>0</v>
      </c>
      <c r="P17" s="5">
        <f t="shared" ca="1" si="6"/>
        <v>0</v>
      </c>
      <c r="Q17" s="5">
        <f t="shared" ca="1" si="6"/>
        <v>0</v>
      </c>
      <c r="R17" s="5">
        <f t="shared" ca="1" si="6"/>
        <v>0</v>
      </c>
      <c r="S17" s="5">
        <f t="shared" ca="1" si="6"/>
        <v>0</v>
      </c>
      <c r="T17" s="18">
        <f t="shared" ca="1" si="6"/>
        <v>0</v>
      </c>
      <c r="U17" s="16">
        <f t="shared" ca="1" si="7"/>
        <v>1</v>
      </c>
      <c r="V17" s="16">
        <f t="shared" ca="1" si="8"/>
        <v>0</v>
      </c>
      <c r="W17" s="16">
        <f t="shared" ca="1" si="9"/>
        <v>0</v>
      </c>
      <c r="X17" s="16">
        <f t="shared" ca="1" si="10"/>
        <v>0</v>
      </c>
      <c r="Y17" s="16">
        <f t="shared" ca="1" si="11"/>
        <v>0</v>
      </c>
      <c r="Z17" s="16">
        <f t="shared" ca="1" si="12"/>
        <v>0</v>
      </c>
      <c r="AA17" s="16">
        <f t="shared" ca="1" si="13"/>
        <v>0</v>
      </c>
      <c r="AB17" s="16">
        <f t="shared" ca="1" si="14"/>
        <v>0</v>
      </c>
      <c r="AC17" s="16">
        <f t="shared" ca="1" si="15"/>
        <v>0</v>
      </c>
      <c r="AD17" s="16">
        <f t="shared" ca="1" si="16"/>
        <v>0</v>
      </c>
      <c r="AE17" s="16">
        <f t="shared" ca="1" si="17"/>
        <v>0</v>
      </c>
      <c r="AF17" s="23">
        <f ca="1">SUMIFS(INDIRECT("'"&amp;A$7&amp;" - 1040'!$N:$N"), INDIRECT("'"&amp;A$7&amp;" - 1040'!$A:$A"), "&gt;"&amp;INDEX(Console!$A$6:$E$14, MATCH($A17, Console!$A$6:$A$14, 0), MATCH(A$7, Console!$A$6:$E$6, 0)), INDIRECT("'"&amp;A$7&amp;" - 1040'!$A:$A"), IFERROR("&lt;="&amp;IF(INDEX(Console!$A$6:$E$14, MATCH($A17, Console!$A$6:$A$14, 0)+1, MATCH(A$7, Console!$A$6:$E$6, 0))=0, NA(), INDEX(Console!$A$6:$E$14, MATCH($A17, Console!$A$6:$A$14, 0)+1, MATCH(A$7, Console!$A$6:$E$6, 0))),"&gt;0"))</f>
        <v>0</v>
      </c>
      <c r="AG17" s="16"/>
      <c r="AH17" s="16"/>
    </row>
    <row r="18" spans="1:34" x14ac:dyDescent="0.25">
      <c r="A18" s="20">
        <f>Console!A16</f>
        <v>0</v>
      </c>
      <c r="B18" s="8">
        <f>Console!B16</f>
        <v>0</v>
      </c>
      <c r="C18" s="5">
        <f ca="1">SUMIFS(INDIRECT("'"&amp;A$7&amp;" - 1040'!$G:$G"), INDIRECT("'"&amp;A$7&amp;" - 1040'!$A:$A"), "&gt;"&amp;INDEX(Console!$A$6:$E$14, MATCH($A18, Console!$A$6:$A$14, 0), MATCH(A$7, Console!$A$6:$E$6, 0)), INDIRECT("'"&amp;A$7&amp;" - 1040'!$A:$A"), IFERROR("&lt;="&amp;IF(INDEX(Console!$A$6:$E$14, MATCH($A18, Console!$A$6:$A$14, 0)+1, MATCH(A$7, Console!$A$6:$E$6, 0))=0, NA(), INDEX(Console!$A$6:$E$14, MATCH($A18, Console!$A$6:$A$14, 0)+1, MATCH(A$7, Console!$A$6:$E$6, 0))),"&gt;0"))</f>
        <v>0</v>
      </c>
      <c r="D18" s="5">
        <f ca="1">SUMIFS(INDIRECT("'"&amp;A$7&amp;" - 1040'!$C:$C"), INDIRECT("'"&amp;A$7&amp;" - 1040'!$A:$A"), "&gt;"&amp;INDEX(Console!$A$6:$E$14, MATCH($A18, Console!$A$6:$A$14, 0), MATCH(A$7, Console!$A$6:$E$6, 0)), INDIRECT("'"&amp;A$7&amp;" - 1040'!$A:$A"), IFERROR("&lt;="&amp;IF(INDEX(Console!$A$6:$E$14, MATCH($A18, Console!$A$6:$A$14, 0)+1, MATCH(A$7, Console!$A$6:$E$6, 0))=0, NA(), INDEX(Console!$A$6:$E$14, MATCH($A18, Console!$A$6:$A$14, 0)+1, MATCH(A$7, Console!$A$6:$E$6, 0))),"&gt;0"))</f>
        <v>0</v>
      </c>
      <c r="E18" s="5">
        <f t="shared" ca="1" si="2"/>
        <v>0</v>
      </c>
      <c r="F18">
        <f ca="1">IF(E18&lt;Console!B$21, Console!B$20, MAX((Console!B$22-E18)/1000*Console!B$23, 0))</f>
        <v>15000</v>
      </c>
      <c r="G18">
        <f ca="1">IF(E18&gt;Console!B$31, MIN((E18-Console!B$31)*Console!B$33/1000, Console!B$32), 0)+IF(E18&gt;Console!B$36, MIN((E18-Console!B$36)*Console!B$38/1000, Console!B$37), 0)</f>
        <v>0</v>
      </c>
      <c r="H18" s="5">
        <f t="shared" ca="1" si="3"/>
        <v>0</v>
      </c>
      <c r="I18" s="18">
        <f ca="1">IF(E18&gt;Console!B$26, IF(E18&lt;Console!B$27, (E18-Console!B$26)*Console!B$28/1000, (Console!B$27-Console!B$26)*Console!B$28/1000), 0)</f>
        <v>0</v>
      </c>
      <c r="J18" s="5">
        <f t="shared" ca="1" si="4"/>
        <v>0</v>
      </c>
      <c r="K18" s="5">
        <f t="shared" ca="1" si="5"/>
        <v>0</v>
      </c>
      <c r="L18" s="5">
        <f t="shared" ca="1" si="6"/>
        <v>0</v>
      </c>
      <c r="M18" s="5">
        <f t="shared" ca="1" si="6"/>
        <v>0</v>
      </c>
      <c r="N18" s="5">
        <f t="shared" ca="1" si="6"/>
        <v>0</v>
      </c>
      <c r="O18" s="5">
        <f t="shared" ca="1" si="6"/>
        <v>0</v>
      </c>
      <c r="P18" s="5">
        <f t="shared" ca="1" si="6"/>
        <v>0</v>
      </c>
      <c r="Q18" s="5">
        <f t="shared" ca="1" si="6"/>
        <v>0</v>
      </c>
      <c r="R18" s="5">
        <f t="shared" ca="1" si="6"/>
        <v>0</v>
      </c>
      <c r="S18" s="5">
        <f t="shared" ca="1" si="6"/>
        <v>0</v>
      </c>
      <c r="T18" s="18">
        <f t="shared" ca="1" si="6"/>
        <v>0</v>
      </c>
      <c r="U18" s="16">
        <f t="shared" ca="1" si="7"/>
        <v>1</v>
      </c>
      <c r="V18" s="16">
        <f t="shared" ca="1" si="8"/>
        <v>0</v>
      </c>
      <c r="W18" s="16">
        <f t="shared" ca="1" si="9"/>
        <v>0</v>
      </c>
      <c r="X18" s="16">
        <f t="shared" ca="1" si="10"/>
        <v>0</v>
      </c>
      <c r="Y18" s="16">
        <f t="shared" ca="1" si="11"/>
        <v>0</v>
      </c>
      <c r="Z18" s="16">
        <f t="shared" ca="1" si="12"/>
        <v>0</v>
      </c>
      <c r="AA18" s="16">
        <f t="shared" ca="1" si="13"/>
        <v>0</v>
      </c>
      <c r="AB18" s="16">
        <f t="shared" ca="1" si="14"/>
        <v>0</v>
      </c>
      <c r="AC18" s="16">
        <f t="shared" ca="1" si="15"/>
        <v>0</v>
      </c>
      <c r="AD18" s="16">
        <f t="shared" ca="1" si="16"/>
        <v>0</v>
      </c>
      <c r="AE18" s="16">
        <f t="shared" ca="1" si="17"/>
        <v>0</v>
      </c>
      <c r="AF18" s="23">
        <f ca="1">SUMIFS(INDIRECT("'"&amp;A$7&amp;" - 1040'!$N:$N"), INDIRECT("'"&amp;A$7&amp;" - 1040'!$A:$A"), "&gt;"&amp;INDEX(Console!$A$6:$E$14, MATCH($A18, Console!$A$6:$A$14, 0), MATCH(A$7, Console!$A$6:$E$6, 0)), INDIRECT("'"&amp;A$7&amp;" - 1040'!$A:$A"), IFERROR("&lt;="&amp;IF(INDEX(Console!$A$6:$E$14, MATCH($A18, Console!$A$6:$A$14, 0)+1, MATCH(A$7, Console!$A$6:$E$6, 0))=0, NA(), INDEX(Console!$A$6:$E$14, MATCH($A18, Console!$A$6:$A$14, 0)+1, MATCH(A$7, Console!$A$6:$E$6, 0))),"&gt;0"))</f>
        <v>0</v>
      </c>
      <c r="AG18" s="16"/>
      <c r="AH18" s="16"/>
    </row>
    <row r="19" spans="1:34" x14ac:dyDescent="0.25">
      <c r="A19" s="20">
        <f>Console!A17</f>
        <v>0</v>
      </c>
      <c r="B19" s="8">
        <f>Console!B17</f>
        <v>0</v>
      </c>
      <c r="C19" s="5">
        <f ca="1">SUMIFS(INDIRECT("'"&amp;A$7&amp;" - 1040'!$G:$G"), INDIRECT("'"&amp;A$7&amp;" - 1040'!$A:$A"), "&gt;"&amp;INDEX(Console!$A$6:$E$14, MATCH($A19, Console!$A$6:$A$14, 0), MATCH(A$7, Console!$A$6:$E$6, 0)), INDIRECT("'"&amp;A$7&amp;" - 1040'!$A:$A"), IFERROR("&lt;="&amp;IF(INDEX(Console!$A$6:$E$14, MATCH($A19, Console!$A$6:$A$14, 0)+1, MATCH(A$7, Console!$A$6:$E$6, 0))=0, NA(), INDEX(Console!$A$6:$E$14, MATCH($A19, Console!$A$6:$A$14, 0)+1, MATCH(A$7, Console!$A$6:$E$6, 0))),"&gt;0"))</f>
        <v>0</v>
      </c>
      <c r="D19" s="5">
        <f ca="1">SUMIFS(INDIRECT("'"&amp;A$7&amp;" - 1040'!$C:$C"), INDIRECT("'"&amp;A$7&amp;" - 1040'!$A:$A"), "&gt;"&amp;INDEX(Console!$A$6:$E$14, MATCH($A19, Console!$A$6:$A$14, 0), MATCH(A$7, Console!$A$6:$E$6, 0)), INDIRECT("'"&amp;A$7&amp;" - 1040'!$A:$A"), IFERROR("&lt;="&amp;IF(INDEX(Console!$A$6:$E$14, MATCH($A19, Console!$A$6:$A$14, 0)+1, MATCH(A$7, Console!$A$6:$E$6, 0))=0, NA(), INDEX(Console!$A$6:$E$14, MATCH($A19, Console!$A$6:$A$14, 0)+1, MATCH(A$7, Console!$A$6:$E$6, 0))),"&gt;0"))</f>
        <v>0</v>
      </c>
      <c r="E19" s="5">
        <f t="shared" ca="1" si="2"/>
        <v>0</v>
      </c>
      <c r="F19">
        <f ca="1">IF(E19&lt;Console!B$21, Console!B$20, MAX((Console!B$22-E19)/1000*Console!B$23, 0))</f>
        <v>15000</v>
      </c>
      <c r="G19">
        <f ca="1">IF(E19&gt;Console!B$31, MIN((E19-Console!B$31)*Console!B$33/1000, Console!B$32), 0)+IF(E19&gt;Console!B$36, MIN((E19-Console!B$36)*Console!B$38/1000, Console!B$37), 0)</f>
        <v>0</v>
      </c>
      <c r="H19" s="5">
        <f t="shared" ca="1" si="3"/>
        <v>0</v>
      </c>
      <c r="I19" s="18">
        <f ca="1">IF(E19&gt;Console!B$26, IF(E19&lt;Console!B$27, (E19-Console!B$26)*Console!B$28/1000, (Console!B$27-Console!B$26)*Console!B$28/1000), 0)</f>
        <v>0</v>
      </c>
      <c r="J19" s="5">
        <f t="shared" ca="1" si="4"/>
        <v>0</v>
      </c>
      <c r="K19" s="5">
        <f t="shared" ca="1" si="5"/>
        <v>0</v>
      </c>
      <c r="L19" s="5">
        <f t="shared" ca="1" si="6"/>
        <v>0</v>
      </c>
      <c r="M19" s="5">
        <f t="shared" ca="1" si="6"/>
        <v>0</v>
      </c>
      <c r="N19" s="5">
        <f t="shared" ca="1" si="6"/>
        <v>0</v>
      </c>
      <c r="O19" s="5">
        <f t="shared" ca="1" si="6"/>
        <v>0</v>
      </c>
      <c r="P19" s="5">
        <f t="shared" ca="1" si="6"/>
        <v>0</v>
      </c>
      <c r="Q19" s="5">
        <f t="shared" ca="1" si="6"/>
        <v>0</v>
      </c>
      <c r="R19" s="5">
        <f t="shared" ca="1" si="6"/>
        <v>0</v>
      </c>
      <c r="S19" s="5">
        <f t="shared" ca="1" si="6"/>
        <v>0</v>
      </c>
      <c r="T19" s="18">
        <f t="shared" ca="1" si="6"/>
        <v>0</v>
      </c>
      <c r="U19" s="16">
        <f t="shared" ca="1" si="7"/>
        <v>1</v>
      </c>
      <c r="V19" s="16">
        <f t="shared" ca="1" si="8"/>
        <v>0</v>
      </c>
      <c r="W19" s="16">
        <f t="shared" ca="1" si="9"/>
        <v>0</v>
      </c>
      <c r="X19" s="16">
        <f t="shared" ca="1" si="10"/>
        <v>0</v>
      </c>
      <c r="Y19" s="16">
        <f t="shared" ca="1" si="11"/>
        <v>0</v>
      </c>
      <c r="Z19" s="16">
        <f t="shared" ca="1" si="12"/>
        <v>0</v>
      </c>
      <c r="AA19" s="16">
        <f t="shared" ca="1" si="13"/>
        <v>0</v>
      </c>
      <c r="AB19" s="16">
        <f t="shared" ca="1" si="14"/>
        <v>0</v>
      </c>
      <c r="AC19" s="16">
        <f t="shared" ca="1" si="15"/>
        <v>0</v>
      </c>
      <c r="AD19" s="16">
        <f t="shared" ca="1" si="16"/>
        <v>0</v>
      </c>
      <c r="AE19" s="16">
        <f t="shared" ca="1" si="17"/>
        <v>0</v>
      </c>
      <c r="AF19" s="23">
        <f ca="1">SUMIFS(INDIRECT("'"&amp;A$7&amp;" - 1040'!$N:$N"), INDIRECT("'"&amp;A$7&amp;" - 1040'!$A:$A"), "&gt;"&amp;INDEX(Console!$A$6:$E$14, MATCH($A19, Console!$A$6:$A$14, 0), MATCH(A$7, Console!$A$6:$E$6, 0)), INDIRECT("'"&amp;A$7&amp;" - 1040'!$A:$A"), IFERROR("&lt;="&amp;IF(INDEX(Console!$A$6:$E$14, MATCH($A19, Console!$A$6:$A$14, 0)+1, MATCH(A$7, Console!$A$6:$E$6, 0))=0, NA(), INDEX(Console!$A$6:$E$14, MATCH($A19, Console!$A$6:$A$14, 0)+1, MATCH(A$7, Console!$A$6:$E$6, 0))),"&gt;0"))</f>
        <v>0</v>
      </c>
      <c r="AG19" s="16"/>
      <c r="AH19" s="16"/>
    </row>
    <row r="20" spans="1:34" x14ac:dyDescent="0.25">
      <c r="A20" s="71" t="s">
        <v>449</v>
      </c>
      <c r="B20" s="8"/>
      <c r="C20" s="5"/>
      <c r="D20" s="5"/>
      <c r="E20" s="5"/>
      <c r="I20" s="8"/>
      <c r="J20" s="5"/>
      <c r="K20" s="5"/>
      <c r="L20" s="5"/>
      <c r="M20" s="5"/>
      <c r="N20" s="5"/>
      <c r="O20" s="5"/>
      <c r="P20" s="5"/>
      <c r="Q20" s="5"/>
      <c r="R20" s="5"/>
      <c r="S20" s="5"/>
      <c r="T20" s="8"/>
      <c r="U20" s="16"/>
      <c r="V20" s="16"/>
      <c r="W20" s="16"/>
      <c r="X20" s="16"/>
      <c r="Y20" s="16"/>
      <c r="Z20" s="16"/>
      <c r="AA20" s="16"/>
      <c r="AB20" s="16"/>
      <c r="AC20" s="16"/>
      <c r="AD20" s="16"/>
      <c r="AE20" s="16"/>
      <c r="AF20" s="16"/>
      <c r="AG20" s="16"/>
    </row>
    <row r="21" spans="1:34" ht="18" thickBot="1" x14ac:dyDescent="0.35">
      <c r="A21" s="72" t="s">
        <v>67</v>
      </c>
    </row>
    <row r="22" spans="1:34" ht="30.75" thickTop="1" x14ac:dyDescent="0.25">
      <c r="A22" s="27" t="s">
        <v>69</v>
      </c>
      <c r="B22" s="27" t="s">
        <v>85</v>
      </c>
      <c r="C22" s="27" t="s">
        <v>74</v>
      </c>
      <c r="D22" s="27" t="s">
        <v>75</v>
      </c>
      <c r="E22" s="27" t="s">
        <v>76</v>
      </c>
      <c r="F22" s="27" t="s">
        <v>77</v>
      </c>
      <c r="G22" s="27" t="s">
        <v>131</v>
      </c>
      <c r="H22" s="27" t="s">
        <v>132</v>
      </c>
      <c r="I22" s="27" t="s">
        <v>87</v>
      </c>
      <c r="J22" s="28">
        <v>0.03</v>
      </c>
      <c r="K22" s="28">
        <v>0.05</v>
      </c>
      <c r="L22" s="28">
        <v>5.5E-2</v>
      </c>
      <c r="M22" s="28">
        <v>0.06</v>
      </c>
      <c r="N22" s="28">
        <v>6.5000000000000002E-2</v>
      </c>
      <c r="O22" s="28">
        <v>6.9000000000000006E-2</v>
      </c>
      <c r="P22" s="28">
        <v>6.9900000000000004E-2</v>
      </c>
      <c r="Q22" s="28">
        <v>0</v>
      </c>
      <c r="R22" s="28">
        <v>0</v>
      </c>
      <c r="S22" s="28">
        <v>0</v>
      </c>
      <c r="T22" s="28">
        <v>0</v>
      </c>
      <c r="U22" s="28">
        <v>0.03</v>
      </c>
      <c r="V22" s="28">
        <v>0.05</v>
      </c>
      <c r="W22" s="28">
        <v>5.5E-2</v>
      </c>
      <c r="X22" s="28">
        <v>0.06</v>
      </c>
      <c r="Y22" s="28">
        <v>6.5000000000000002E-2</v>
      </c>
      <c r="Z22" s="28">
        <v>6.9000000000000006E-2</v>
      </c>
      <c r="AA22" s="28">
        <v>6.9900000000000004E-2</v>
      </c>
      <c r="AB22" s="28">
        <v>0</v>
      </c>
      <c r="AC22" s="28">
        <v>0</v>
      </c>
      <c r="AD22" s="28">
        <v>0</v>
      </c>
      <c r="AE22" s="28">
        <v>0</v>
      </c>
      <c r="AF22" s="28" t="s">
        <v>362</v>
      </c>
      <c r="AG22" s="22"/>
    </row>
    <row r="23" spans="1:34" x14ac:dyDescent="0.25">
      <c r="A23" s="19">
        <f>Console!A7</f>
        <v>0.03</v>
      </c>
      <c r="B23" s="8">
        <f>Console!C7</f>
        <v>0</v>
      </c>
      <c r="C23" s="5">
        <f ca="1">SUMIFS(INDIRECT("'"&amp;A$21&amp;" - 1040'!$G:$G"), INDIRECT("'"&amp;A$21&amp;" - 1040'!$A:$A"), "&gt;"&amp;INDEX(Console!$A$6:$E$14, MATCH($A23, Console!$A$6:$A$123, 0), MATCH(A$21, Console!$A$6:$E$6, 0)), INDIRECT("'"&amp;A$21&amp;" - 1040'!$A:$A"), IFERROR("&lt;="&amp;IF(INDEX(Console!$A$6:$E$14, MATCH($A23, Console!$A$6:$A$123, 0)+1, MATCH(A$21, Console!$A$6:$E$6, 0))=0, NA(), INDEX(Console!$A$6:$E$14, MATCH($A23, Console!$A$6:$A$123, 0)+1, MATCH(A$21, Console!$A$6:$E$6, 0))),"&gt;0"))</f>
        <v>412493567</v>
      </c>
      <c r="D23" s="5">
        <f ca="1">SUMIFS(INDIRECT("'"&amp;A$21&amp;" - 1040'!$C:$C"), INDIRECT("'"&amp;A$21&amp;" - 1040'!$A:$A"), "&gt;"&amp;INDEX(Console!$A$6:$E$14, MATCH($A9, Console!$A$6:$A$123, 0), MATCH(A$21, Console!$A$6:$E$6, 0)), INDIRECT("'"&amp;A$21&amp;" - 1040'!$A:$A"), IFERROR("&lt;="&amp;IF(INDEX(Console!$A$6:$E$14, MATCH($A9, Console!$A$6:$A$123, 0)+1, MATCH(A$21, Console!$A$6:$E$6, 0))=0, NA(), INDEX(Console!$A$6:$E$14, MATCH($A9, Console!$A$6:$A$123, 0)+1, MATCH(A$21, Console!$A$6:$E$6, 0))),"&gt;0"))</f>
        <v>37386</v>
      </c>
      <c r="E23" s="5">
        <f t="shared" ref="E23:E33" ca="1" si="18">IFERROR(C23/D23, 0)</f>
        <v>11033.369897822715</v>
      </c>
      <c r="F23">
        <f ca="1">IF(E23&lt;Console!C$21, Console!C$20, MAX((Console!C$22-E23)/1000*Console!C$23, 0))</f>
        <v>24000</v>
      </c>
      <c r="G23">
        <f ca="1">IF(E23&gt;Console!C$31, MIN((E23-Console!C$31)*Console!C$33/1000, Console!C$32), 0)+IF(E23&gt;Console!C$36, MIN((E23-Console!C$36)*Console!C$38/1000, Console!C$37), 0)</f>
        <v>0</v>
      </c>
      <c r="H23" s="5">
        <f t="shared" ref="H23:H33" ca="1" si="19">G23*D23</f>
        <v>0</v>
      </c>
      <c r="I23" s="17">
        <f ca="1">IF(E23&gt;Console!C$26, IF(E23&lt;Console!C$27, (E23-Console!C$26)*Console!C$28/1000, (Console!C$27-Console!C$26)*Console!C$28/1000), 0)</f>
        <v>0</v>
      </c>
      <c r="J23" s="5">
        <f t="shared" ref="J23:J33" ca="1" si="20">MAX(IF(AND(($E23-$F23)&gt;INDEX($B$23:$B$33, MATCH(J$8,$A$23:$A$33, 0)+1, 0), INDEX($B$23:$B$33, MATCH(J$8,$A$23:$A$33, 0)+1, 0) - INDEX($B$23:$B$33, MATCH(J$8,$A$23:$A$33, 0), 0) &gt;= 0), INDEX($B$23:$B$33, MATCH(J$8,$A$23:$A$33, 0) +1, 0)-INDEX($B$23:$B$33, MATCH(J$8,$A$23:$A$33, 0), 0)-$I23, MAX($E23-$F23, 0) - INDEX($B$23:$B$33, MATCH(J$8,$A$23:$A$33, 0), 0)), 0)</f>
        <v>0</v>
      </c>
      <c r="K23" s="5">
        <f t="shared" ref="K23:K33" ca="1" si="21">MAX(IF(AND(($E23-$F23)&gt;INDEX($B$23:$B$33, MATCH(K$8,$A$23:$A$33, 0)+1, 0), INDEX($B$23:$B$33, MATCH(K$8,$A$23:$A$33, 0)+1, 0) - INDEX($B$23:$B$33, MATCH(K$8,$A$23:$A$33, 0), 0) &gt;= 0), INDEX($B$23:$B$33, MATCH(K$8,$A$23:$A$33, 0) +1, 0)-INDEX($B$23:$B$33, MATCH(K$8,$A$23:$A$33, 0), 0)+$I23, MAX($E23-$F23, 0) - INDEX($B$23:$B$33, MATCH(K$8,$A$23:$A$33, 0), 0)), 0)</f>
        <v>0</v>
      </c>
      <c r="L23" s="5">
        <f t="shared" ref="L23:T33" ca="1" si="22">MAX(IF(AND(($E23-$F23)&gt;INDEX($B$23:$B$33, MATCH(L$8,$A$23:$A$33, 0)+1, 0), INDEX($B$23:$B$33, MATCH(L$8,$A$23:$A$33, 0)+1, 0) - INDEX($B$23:$B$33, MATCH(L$8,$A$23:$A$33, 0), 0) &gt;= 0), INDEX($B$23:$B$33, MATCH(L$8,$A$23:$A$33, 0) +1, 0)-INDEX($B$23:$B$33, MATCH(L$8,$A$23:$A$33, 0), 0), MAX($E23-$F23, 0) - INDEX($B$23:$B$33, MATCH(L$8,$A$23:$A$33, 0), 0)), 0)</f>
        <v>0</v>
      </c>
      <c r="M23" s="5">
        <f t="shared" ca="1" si="22"/>
        <v>0</v>
      </c>
      <c r="N23" s="5">
        <f t="shared" ca="1" si="22"/>
        <v>0</v>
      </c>
      <c r="O23" s="5">
        <f t="shared" ca="1" si="22"/>
        <v>0</v>
      </c>
      <c r="P23" s="5">
        <f t="shared" ca="1" si="22"/>
        <v>0</v>
      </c>
      <c r="Q23" s="5">
        <f t="shared" ca="1" si="22"/>
        <v>0</v>
      </c>
      <c r="R23" s="5">
        <f t="shared" ca="1" si="22"/>
        <v>0</v>
      </c>
      <c r="S23" s="5">
        <f t="shared" ca="1" si="22"/>
        <v>0</v>
      </c>
      <c r="T23" s="17">
        <f t="shared" ca="1" si="22"/>
        <v>0</v>
      </c>
      <c r="U23" s="16">
        <f t="shared" ref="U23:U33" ca="1" si="23">IFERROR(1 - SUM(V23:AE23), 0)</f>
        <v>1</v>
      </c>
      <c r="V23" s="16">
        <f t="shared" ref="V23:V33" ca="1" si="24">IFERROR(K23/SUM($J23:$T23), 0)</f>
        <v>0</v>
      </c>
      <c r="W23" s="16">
        <f t="shared" ref="W23:W33" ca="1" si="25">IFERROR(L23/SUM($J23:$T23), 0)</f>
        <v>0</v>
      </c>
      <c r="X23" s="16">
        <f t="shared" ref="X23:X33" ca="1" si="26">IFERROR(M23/SUM($J23:$T23), 0)</f>
        <v>0</v>
      </c>
      <c r="Y23" s="16">
        <f t="shared" ref="Y23:Y33" ca="1" si="27">IFERROR(N23/SUM($J23:$T23), 0)</f>
        <v>0</v>
      </c>
      <c r="Z23" s="16">
        <f t="shared" ref="Z23:Z33" ca="1" si="28">IFERROR(O23/SUM($J23:$T23), 0)</f>
        <v>0</v>
      </c>
      <c r="AA23" s="16">
        <f t="shared" ref="AA23:AA33" ca="1" si="29">IFERROR(P23/SUM($J23:$T23), 0)</f>
        <v>0</v>
      </c>
      <c r="AB23" s="16">
        <f t="shared" ref="AB23:AB33" ca="1" si="30">IFERROR(Q23/SUM($J23:$T23), 0)</f>
        <v>0</v>
      </c>
      <c r="AC23" s="16">
        <f t="shared" ref="AC23:AC33" ca="1" si="31">IFERROR(R23/SUM($J23:$T23), 0)</f>
        <v>0</v>
      </c>
      <c r="AD23" s="16">
        <f t="shared" ref="AD23:AD33" ca="1" si="32">IFERROR(S23/SUM($J23:$T23), 0)</f>
        <v>0</v>
      </c>
      <c r="AE23" s="16">
        <f t="shared" ref="AE23:AE33" ca="1" si="33">IFERROR(T23/SUM($J23:$T23), 0)</f>
        <v>0</v>
      </c>
      <c r="AF23" s="23">
        <f ca="1">SUMIFS(INDIRECT("'"&amp;A$21&amp;" - 1040'!$N:$N"), INDIRECT("'"&amp;A$21&amp;" - 1040'!$A:$A"), "&gt;"&amp;INDEX(Console!$A$6:$E$14, MATCH($A9, Console!$A$6:$A$123, 0), MATCH(A$21, Console!$A$6:$E$6, 0)), INDIRECT("'"&amp;A$21&amp;" - 1040'!$A:$A"), IFERROR("&lt;="&amp;IF(INDEX(Console!$A$6:$E$14, MATCH($A9, Console!$A$6:$A$123, 0)+1, MATCH(A$21, Console!$A$6:$E$6, 0))=0, NA(), INDEX(Console!$A$6:$E$14, MATCH($A9, Console!$A$6:$A$123, 0)+1, MATCH(A$21, Console!$A$6:$E$6, 0))),"&gt;0"))</f>
        <v>16324</v>
      </c>
      <c r="AG23" s="16"/>
    </row>
    <row r="24" spans="1:34" x14ac:dyDescent="0.25">
      <c r="A24" s="20">
        <f>Console!A8</f>
        <v>0.05</v>
      </c>
      <c r="B24" s="8">
        <f>Console!C8</f>
        <v>20000</v>
      </c>
      <c r="C24" s="5">
        <f ca="1">SUMIFS(INDIRECT("'"&amp;A$21&amp;" - 1040'!$G:$G"), INDIRECT("'"&amp;A$21&amp;" - 1040'!$A:$A"), "&gt;"&amp;INDEX(Console!$A$6:$E$14, MATCH($A24, Console!$A$6:$A$123, 0), MATCH(A$21, Console!$A$6:$E$6, 0)), INDIRECT("'"&amp;A$21&amp;" - 1040'!$A:$A"), IFERROR("&lt;="&amp;IF(INDEX(Console!$A$6:$E$14, MATCH($A24, Console!$A$6:$A$123, 0)+1, MATCH(A$21, Console!$A$6:$E$6, 0))=0, NA(), INDEX(Console!$A$6:$E$14, MATCH($A24, Console!$A$6:$A$123, 0)+1, MATCH(A$21, Console!$A$6:$E$6, 0))),"&gt;0"))</f>
        <v>13219583695</v>
      </c>
      <c r="D24" s="5">
        <f ca="1">SUMIFS(INDIRECT("'"&amp;A$21&amp;" - 1040'!$C:$C"), INDIRECT("'"&amp;A$21&amp;" - 1040'!$A:$A"), "&gt;"&amp;INDEX(Console!$A$6:$E$14, MATCH($A10, Console!$A$6:$A$123, 0), MATCH(A$21, Console!$A$6:$E$6, 0)), INDIRECT("'"&amp;A$21&amp;" - 1040'!$A:$A"), IFERROR("&lt;="&amp;IF(INDEX(Console!$A$6:$E$14, MATCH($A10, Console!$A$6:$A$123, 0)+1, MATCH(A$21, Console!$A$6:$E$6, 0))=0, NA(), INDEX(Console!$A$6:$E$14, MATCH($A10, Console!$A$6:$A$123, 0)+1, MATCH(A$21, Console!$A$6:$E$6, 0))),"&gt;0"))</f>
        <v>222341</v>
      </c>
      <c r="E24" s="5">
        <f t="shared" ca="1" si="18"/>
        <v>59456.347209916297</v>
      </c>
      <c r="F24">
        <f ca="1">IF(E24&lt;Console!C$21, Console!C$20, MAX((Console!C$22-E24)/1000*Console!C$23, 0))</f>
        <v>12543.652790083703</v>
      </c>
      <c r="G24">
        <f ca="1">IF(E24&gt;Console!C$31, MIN((E24-Console!C$31)*Console!C$33/1000, Console!C$32), 0)+IF(E24&gt;Console!C$36, MIN((E24-Console!C$36)*Console!C$38/1000, Console!C$37), 0)</f>
        <v>0</v>
      </c>
      <c r="H24" s="5">
        <f t="shared" ca="1" si="19"/>
        <v>0</v>
      </c>
      <c r="I24" s="18">
        <f ca="1">IF(E24&gt;Console!C$26, IF(E24&lt;Console!C$27, (E24-Console!C$26)*Console!C$28/1000, (Console!C$27-Console!C$26)*Console!C$28/1000), 0)</f>
        <v>0</v>
      </c>
      <c r="J24" s="5">
        <f t="shared" ca="1" si="20"/>
        <v>20000</v>
      </c>
      <c r="K24" s="5">
        <f t="shared" ca="1" si="21"/>
        <v>26912.694419832595</v>
      </c>
      <c r="L24" s="5">
        <f t="shared" ca="1" si="22"/>
        <v>0</v>
      </c>
      <c r="M24" s="5">
        <f t="shared" ca="1" si="22"/>
        <v>0</v>
      </c>
      <c r="N24" s="5">
        <f t="shared" ca="1" si="22"/>
        <v>0</v>
      </c>
      <c r="O24" s="5">
        <f t="shared" ca="1" si="22"/>
        <v>0</v>
      </c>
      <c r="P24" s="5">
        <f t="shared" ca="1" si="22"/>
        <v>0</v>
      </c>
      <c r="Q24" s="5">
        <f t="shared" ca="1" si="22"/>
        <v>0</v>
      </c>
      <c r="R24" s="5">
        <f t="shared" ca="1" si="22"/>
        <v>0</v>
      </c>
      <c r="S24" s="5">
        <f t="shared" ca="1" si="22"/>
        <v>0</v>
      </c>
      <c r="T24" s="18">
        <f t="shared" ca="1" si="22"/>
        <v>0</v>
      </c>
      <c r="U24" s="16">
        <f t="shared" ca="1" si="23"/>
        <v>0.42632383936457274</v>
      </c>
      <c r="V24" s="16">
        <f t="shared" ca="1" si="24"/>
        <v>0.57367616063542726</v>
      </c>
      <c r="W24" s="16">
        <f t="shared" ca="1" si="25"/>
        <v>0</v>
      </c>
      <c r="X24" s="16">
        <f t="shared" ca="1" si="26"/>
        <v>0</v>
      </c>
      <c r="Y24" s="16">
        <f t="shared" ca="1" si="27"/>
        <v>0</v>
      </c>
      <c r="Z24" s="16">
        <f t="shared" ca="1" si="28"/>
        <v>0</v>
      </c>
      <c r="AA24" s="16">
        <f t="shared" ca="1" si="29"/>
        <v>0</v>
      </c>
      <c r="AB24" s="16">
        <f t="shared" ca="1" si="30"/>
        <v>0</v>
      </c>
      <c r="AC24" s="16">
        <f t="shared" ca="1" si="31"/>
        <v>0</v>
      </c>
      <c r="AD24" s="16">
        <f t="shared" ca="1" si="32"/>
        <v>0</v>
      </c>
      <c r="AE24" s="16">
        <f t="shared" ca="1" si="33"/>
        <v>0</v>
      </c>
      <c r="AF24" s="23">
        <f ca="1">SUMIFS(INDIRECT("'"&amp;A$21&amp;" - 1040'!$N:$N"), INDIRECT("'"&amp;A$21&amp;" - 1040'!$A:$A"), "&gt;"&amp;INDEX(Console!$A$6:$E$14, MATCH($A10, Console!$A$6:$A$123, 0), MATCH(A$21, Console!$A$6:$E$6, 0)), INDIRECT("'"&amp;A$21&amp;" - 1040'!$A:$A"), IFERROR("&lt;="&amp;IF(INDEX(Console!$A$6:$E$14, MATCH($A10, Console!$A$6:$A$123, 0)+1, MATCH(A$21, Console!$A$6:$E$6, 0))=0, NA(), INDEX(Console!$A$6:$E$14, MATCH($A10, Console!$A$6:$A$123, 0)+1, MATCH(A$21, Console!$A$6:$E$6, 0))),"&gt;0"))</f>
        <v>366571206</v>
      </c>
      <c r="AG24" s="16"/>
    </row>
    <row r="25" spans="1:34" x14ac:dyDescent="0.25">
      <c r="A25" s="20">
        <f>Console!A9</f>
        <v>5.5E-2</v>
      </c>
      <c r="B25" s="8">
        <f>Console!C9</f>
        <v>100000</v>
      </c>
      <c r="C25" s="5">
        <f ca="1">SUMIFS(INDIRECT("'"&amp;A$21&amp;" - 1040'!$G:$G"), INDIRECT("'"&amp;A$21&amp;" - 1040'!$A:$A"), "&gt;"&amp;INDEX(Console!$A$6:$E$14, MATCH($A25, Console!$A$6:$A$123, 0), MATCH(A$21, Console!$A$6:$E$6, 0)), INDIRECT("'"&amp;A$21&amp;" - 1040'!$A:$A"), IFERROR("&lt;="&amp;IF(INDEX(Console!$A$6:$E$14, MATCH($A25, Console!$A$6:$A$123, 0)+1, MATCH(A$21, Console!$A$6:$E$6, 0))=0, NA(), INDEX(Console!$A$6:$E$14, MATCH($A25, Console!$A$6:$A$123, 0)+1, MATCH(A$21, Console!$A$6:$E$6, 0))),"&gt;0"))</f>
        <v>27750997257</v>
      </c>
      <c r="D25" s="5">
        <f ca="1">SUMIFS(INDIRECT("'"&amp;A$21&amp;" - 1040'!$C:$C"), INDIRECT("'"&amp;A$21&amp;" - 1040'!$A:$A"), "&gt;"&amp;INDEX(Console!$A$6:$E$14, MATCH($A11, Console!$A$6:$A$123, 0), MATCH(A$21, Console!$A$6:$E$6, 0)), INDIRECT("'"&amp;A$21&amp;" - 1040'!$A:$A"), IFERROR("&lt;="&amp;IF(INDEX(Console!$A$6:$E$14, MATCH($A11, Console!$A$6:$A$123, 0)+1, MATCH(A$21, Console!$A$6:$E$6, 0))=0, NA(), INDEX(Console!$A$6:$E$14, MATCH($A11, Console!$A$6:$A$123, 0)+1, MATCH(A$21, Console!$A$6:$E$6, 0))),"&gt;0"))</f>
        <v>196019</v>
      </c>
      <c r="E25" s="5">
        <f t="shared" ca="1" si="18"/>
        <v>141572.99678602585</v>
      </c>
      <c r="F25">
        <f ca="1">IF(E25&lt;Console!C$21, Console!C$20, MAX((Console!C$22-E25)/1000*Console!C$23, 0))</f>
        <v>0</v>
      </c>
      <c r="G25">
        <f ca="1">IF(E25&gt;Console!C$31, MIN((E25-Console!C$31)*Console!C$33/1000, Console!C$32), 0)+IF(E25&gt;Console!C$36, MIN((E25-Console!C$36)*Console!C$38/1000, Console!C$37), 0)</f>
        <v>0</v>
      </c>
      <c r="H25" s="5">
        <f t="shared" ca="1" si="19"/>
        <v>0</v>
      </c>
      <c r="I25" s="18">
        <f ca="1">IF(E25&gt;Console!C$26, IF(E25&lt;Console!C$27, (E25-Console!C$26)*Console!C$28/1000, (Console!C$27-Console!C$26)*Console!C$28/1000), 0)</f>
        <v>16429.198714410337</v>
      </c>
      <c r="J25" s="5">
        <f t="shared" ca="1" si="20"/>
        <v>3570.8012855896632</v>
      </c>
      <c r="K25" s="5">
        <f t="shared" ca="1" si="21"/>
        <v>96429.198714410333</v>
      </c>
      <c r="L25" s="5">
        <f t="shared" ca="1" si="22"/>
        <v>41572.996786025848</v>
      </c>
      <c r="M25" s="5">
        <f t="shared" ca="1" si="22"/>
        <v>0</v>
      </c>
      <c r="N25" s="5">
        <f t="shared" ca="1" si="22"/>
        <v>0</v>
      </c>
      <c r="O25" s="5">
        <f t="shared" ca="1" si="22"/>
        <v>0</v>
      </c>
      <c r="P25" s="5">
        <f t="shared" ca="1" si="22"/>
        <v>0</v>
      </c>
      <c r="Q25" s="5">
        <f t="shared" ca="1" si="22"/>
        <v>0</v>
      </c>
      <c r="R25" s="5">
        <f t="shared" ca="1" si="22"/>
        <v>0</v>
      </c>
      <c r="S25" s="5">
        <f t="shared" ca="1" si="22"/>
        <v>0</v>
      </c>
      <c r="T25" s="18">
        <f t="shared" ca="1" si="22"/>
        <v>0</v>
      </c>
      <c r="U25" s="16">
        <f t="shared" ca="1" si="23"/>
        <v>2.5222333118981699E-2</v>
      </c>
      <c r="V25" s="16">
        <f t="shared" ca="1" si="24"/>
        <v>0.68112705744411073</v>
      </c>
      <c r="W25" s="16">
        <f t="shared" ca="1" si="25"/>
        <v>0.29365060943690757</v>
      </c>
      <c r="X25" s="16">
        <f t="shared" ca="1" si="26"/>
        <v>0</v>
      </c>
      <c r="Y25" s="16">
        <f t="shared" ca="1" si="27"/>
        <v>0</v>
      </c>
      <c r="Z25" s="16">
        <f t="shared" ca="1" si="28"/>
        <v>0</v>
      </c>
      <c r="AA25" s="16">
        <f t="shared" ca="1" si="29"/>
        <v>0</v>
      </c>
      <c r="AB25" s="16">
        <f t="shared" ca="1" si="30"/>
        <v>0</v>
      </c>
      <c r="AC25" s="16">
        <f t="shared" ca="1" si="31"/>
        <v>0</v>
      </c>
      <c r="AD25" s="16">
        <f t="shared" ca="1" si="32"/>
        <v>0</v>
      </c>
      <c r="AE25" s="16">
        <f t="shared" ca="1" si="33"/>
        <v>0</v>
      </c>
      <c r="AF25" s="23">
        <f ca="1">SUMIFS(INDIRECT("'"&amp;A$21&amp;" - 1040'!$N:$N"), INDIRECT("'"&amp;A$21&amp;" - 1040'!$A:$A"), "&gt;"&amp;INDEX(Console!$A$6:$E$14, MATCH($A11, Console!$A$6:$A$123, 0), MATCH(A$21, Console!$A$6:$E$6, 0)), INDIRECT("'"&amp;A$21&amp;" - 1040'!$A:$A"), IFERROR("&lt;="&amp;IF(INDEX(Console!$A$6:$E$14, MATCH($A11, Console!$A$6:$A$123, 0)+1, MATCH(A$21, Console!$A$6:$E$6, 0))=0, NA(), INDEX(Console!$A$6:$E$14, MATCH($A11, Console!$A$6:$A$123, 0)+1, MATCH(A$21, Console!$A$6:$E$6, 0))),"&gt;0"))</f>
        <v>1311855545</v>
      </c>
      <c r="AG25" s="16"/>
    </row>
    <row r="26" spans="1:34" x14ac:dyDescent="0.25">
      <c r="A26" s="20">
        <f>Console!A10</f>
        <v>0.06</v>
      </c>
      <c r="B26" s="8">
        <f>Console!C10</f>
        <v>200000</v>
      </c>
      <c r="C26" s="5">
        <f ca="1">SUMIFS(INDIRECT("'"&amp;A$21&amp;" - 1040'!$G:$G"), INDIRECT("'"&amp;A$21&amp;" - 1040'!$A:$A"), "&gt;"&amp;INDEX(Console!$A$6:$E$14, MATCH($A26, Console!$A$6:$A$123, 0), MATCH(A$21, Console!$A$6:$E$6, 0)), INDIRECT("'"&amp;A$21&amp;" - 1040'!$A:$A"), IFERROR("&lt;="&amp;IF(INDEX(Console!$A$6:$E$14, MATCH($A26, Console!$A$6:$A$123, 0)+1, MATCH(A$21, Console!$A$6:$E$6, 0))=0, NA(), INDEX(Console!$A$6:$E$14, MATCH($A26, Console!$A$6:$A$123, 0)+1, MATCH(A$21, Console!$A$6:$E$6, 0))),"&gt;0"))</f>
        <v>19098064868</v>
      </c>
      <c r="D26" s="5">
        <f ca="1">SUMIFS(INDIRECT("'"&amp;A$21&amp;" - 1040'!$C:$C"), INDIRECT("'"&amp;A$21&amp;" - 1040'!$A:$A"), "&gt;"&amp;INDEX(Console!$A$6:$E$14, MATCH($A12, Console!$A$6:$A$123, 0), MATCH(A$21, Console!$A$6:$E$6, 0)), INDIRECT("'"&amp;A$21&amp;" - 1040'!$A:$A"), IFERROR("&lt;="&amp;IF(INDEX(Console!$A$6:$E$14, MATCH($A12, Console!$A$6:$A$123, 0)+1, MATCH(A$21, Console!$A$6:$E$6, 0))=0, NA(), INDEX(Console!$A$6:$E$14, MATCH($A12, Console!$A$6:$A$123, 0)+1, MATCH(A$21, Console!$A$6:$E$6, 0))),"&gt;0"))</f>
        <v>74667</v>
      </c>
      <c r="E26" s="5">
        <f t="shared" ca="1" si="18"/>
        <v>255776.51262271151</v>
      </c>
      <c r="F26">
        <f ca="1">IF(E26&lt;Console!C$21, Console!C$20, MAX((Console!C$22-E26)/1000*Console!C$23, 0))</f>
        <v>0</v>
      </c>
      <c r="G26">
        <f ca="1">IF(E26&gt;Console!C$31, MIN((E26-Console!C$31)*Console!C$33/1000, Console!C$32), 0)+IF(E26&gt;Console!C$36, MIN((E26-Console!C$36)*Console!C$38/1000, Console!C$37), 0)</f>
        <v>0</v>
      </c>
      <c r="H26" s="5">
        <f t="shared" ca="1" si="19"/>
        <v>0</v>
      </c>
      <c r="I26" s="18">
        <f ca="1">IF(E26&gt;Console!C$26, IF(E26&lt;Console!C$27, (E26-Console!C$26)*Console!C$28/1000, (Console!C$27-Console!C$26)*Console!C$28/1000), 0)</f>
        <v>20000</v>
      </c>
      <c r="J26" s="5">
        <f t="shared" ca="1" si="20"/>
        <v>0</v>
      </c>
      <c r="K26" s="5">
        <f t="shared" ca="1" si="21"/>
        <v>100000</v>
      </c>
      <c r="L26" s="5">
        <f t="shared" ca="1" si="22"/>
        <v>100000</v>
      </c>
      <c r="M26" s="5">
        <f t="shared" ca="1" si="22"/>
        <v>55776.512622711511</v>
      </c>
      <c r="N26" s="5">
        <f t="shared" ca="1" si="22"/>
        <v>0</v>
      </c>
      <c r="O26" s="5">
        <f t="shared" ca="1" si="22"/>
        <v>0</v>
      </c>
      <c r="P26" s="5">
        <f t="shared" ca="1" si="22"/>
        <v>0</v>
      </c>
      <c r="Q26" s="5">
        <f t="shared" ca="1" si="22"/>
        <v>0</v>
      </c>
      <c r="R26" s="5">
        <f t="shared" ca="1" si="22"/>
        <v>0</v>
      </c>
      <c r="S26" s="5">
        <f t="shared" ca="1" si="22"/>
        <v>0</v>
      </c>
      <c r="T26" s="18">
        <f t="shared" ca="1" si="22"/>
        <v>0</v>
      </c>
      <c r="U26" s="16">
        <f t="shared" ca="1" si="23"/>
        <v>0</v>
      </c>
      <c r="V26" s="16">
        <f t="shared" ca="1" si="24"/>
        <v>0.39096631263992204</v>
      </c>
      <c r="W26" s="16">
        <f t="shared" ca="1" si="25"/>
        <v>0.39096631263992204</v>
      </c>
      <c r="X26" s="16">
        <f t="shared" ca="1" si="26"/>
        <v>0.21806737472015589</v>
      </c>
      <c r="Y26" s="16">
        <f t="shared" ca="1" si="27"/>
        <v>0</v>
      </c>
      <c r="Z26" s="16">
        <f t="shared" ca="1" si="28"/>
        <v>0</v>
      </c>
      <c r="AA26" s="16">
        <f t="shared" ca="1" si="29"/>
        <v>0</v>
      </c>
      <c r="AB26" s="16">
        <f t="shared" ca="1" si="30"/>
        <v>0</v>
      </c>
      <c r="AC26" s="16">
        <f t="shared" ca="1" si="31"/>
        <v>0</v>
      </c>
      <c r="AD26" s="16">
        <f t="shared" ca="1" si="32"/>
        <v>0</v>
      </c>
      <c r="AE26" s="16">
        <f t="shared" ca="1" si="33"/>
        <v>0</v>
      </c>
      <c r="AF26" s="23">
        <f ca="1">SUMIFS(INDIRECT("'"&amp;A$21&amp;" - 1040'!$N:$N"), INDIRECT("'"&amp;A$21&amp;" - 1040'!$A:$A"), "&gt;"&amp;INDEX(Console!$A$6:$E$14, MATCH($A12, Console!$A$6:$A$123, 0), MATCH(A$21, Console!$A$6:$E$6, 0)), INDIRECT("'"&amp;A$21&amp;" - 1040'!$A:$A"), IFERROR("&lt;="&amp;IF(INDEX(Console!$A$6:$E$14, MATCH($A12, Console!$A$6:$A$123, 0)+1, MATCH(A$21, Console!$A$6:$E$6, 0))=0, NA(), INDEX(Console!$A$6:$E$14, MATCH($A12, Console!$A$6:$A$123, 0)+1, MATCH(A$21, Console!$A$6:$E$6, 0))),"&gt;0"))</f>
        <v>905005218</v>
      </c>
      <c r="AG26" s="16"/>
    </row>
    <row r="27" spans="1:34" x14ac:dyDescent="0.25">
      <c r="A27" s="20">
        <f>Console!A11</f>
        <v>6.5000000000000002E-2</v>
      </c>
      <c r="B27" s="8">
        <f>Console!C11</f>
        <v>400000</v>
      </c>
      <c r="C27" s="5">
        <f ca="1">SUMIFS(INDIRECT("'"&amp;A$21&amp;" - 1040'!$G:$G"), INDIRECT("'"&amp;A$21&amp;" - 1040'!$A:$A"), "&gt;"&amp;INDEX(Console!$A$6:$E$14, MATCH($A27, Console!$A$6:$A$123, 0), MATCH(A$21, Console!$A$6:$E$6, 0)), INDIRECT("'"&amp;A$21&amp;" - 1040'!$A:$A"), IFERROR("&lt;="&amp;IF(INDEX(Console!$A$6:$E$14, MATCH($A27, Console!$A$6:$A$123, 0)+1, MATCH(A$21, Console!$A$6:$E$6, 0))=0, NA(), INDEX(Console!$A$6:$E$14, MATCH($A27, Console!$A$6:$A$123, 0)+1, MATCH(A$21, Console!$A$6:$E$6, 0))),"&gt;0"))</f>
        <v>8542650621</v>
      </c>
      <c r="D27" s="5">
        <f ca="1">SUMIFS(INDIRECT("'"&amp;A$21&amp;" - 1040'!$C:$C"), INDIRECT("'"&amp;A$21&amp;" - 1040'!$A:$A"), "&gt;"&amp;INDEX(Console!$A$6:$E$14, MATCH($A13, Console!$A$6:$A$123, 0), MATCH(A$21, Console!$A$6:$E$6, 0)), INDIRECT("'"&amp;A$21&amp;" - 1040'!$A:$A"), IFERROR("&lt;="&amp;IF(INDEX(Console!$A$6:$E$14, MATCH($A13, Console!$A$6:$A$123, 0)+1, MATCH(A$21, Console!$A$6:$E$6, 0))=0, NA(), INDEX(Console!$A$6:$E$14, MATCH($A13, Console!$A$6:$A$123, 0)+1, MATCH(A$21, Console!$A$6:$E$6, 0))),"&gt;0"))</f>
        <v>20678</v>
      </c>
      <c r="E27" s="5">
        <f t="shared" ca="1" si="18"/>
        <v>413127.50851146143</v>
      </c>
      <c r="F27">
        <f ca="1">IF(E27&lt;Console!C$21, Console!C$20, MAX((Console!C$22-E27)/1000*Console!C$23, 0))</f>
        <v>0</v>
      </c>
      <c r="G27">
        <f ca="1">IF(E27&gt;Console!C$31, MIN((E27-Console!C$31)*Console!C$33/1000, Console!C$32), 0)+IF(E27&gt;Console!C$36, MIN((E27-Console!C$36)*Console!C$38/1000, Console!C$37), 0)</f>
        <v>236.2951532063058</v>
      </c>
      <c r="H27" s="5">
        <f t="shared" ca="1" si="19"/>
        <v>4886111.177999991</v>
      </c>
      <c r="I27" s="18">
        <f ca="1">IF(E27&gt;Console!C$26, IF(E27&lt;Console!C$27, (E27-Console!C$26)*Console!C$28/1000, (Console!C$27-Console!C$26)*Console!C$28/1000), 0)</f>
        <v>20000</v>
      </c>
      <c r="J27" s="5">
        <f t="shared" ca="1" si="20"/>
        <v>0</v>
      </c>
      <c r="K27" s="5">
        <f t="shared" ca="1" si="21"/>
        <v>100000</v>
      </c>
      <c r="L27" s="5">
        <f t="shared" ca="1" si="22"/>
        <v>100000</v>
      </c>
      <c r="M27" s="5">
        <f t="shared" ca="1" si="22"/>
        <v>200000</v>
      </c>
      <c r="N27" s="5">
        <f t="shared" ca="1" si="22"/>
        <v>13127.508511461434</v>
      </c>
      <c r="O27" s="5">
        <f t="shared" ca="1" si="22"/>
        <v>0</v>
      </c>
      <c r="P27" s="5">
        <f t="shared" ca="1" si="22"/>
        <v>0</v>
      </c>
      <c r="Q27" s="5">
        <f t="shared" ca="1" si="22"/>
        <v>0</v>
      </c>
      <c r="R27" s="5">
        <f t="shared" ca="1" si="22"/>
        <v>0</v>
      </c>
      <c r="S27" s="5">
        <f t="shared" ca="1" si="22"/>
        <v>0</v>
      </c>
      <c r="T27" s="18">
        <f t="shared" ca="1" si="22"/>
        <v>0</v>
      </c>
      <c r="U27" s="16">
        <f t="shared" ca="1" si="23"/>
        <v>0</v>
      </c>
      <c r="V27" s="16">
        <f t="shared" ca="1" si="24"/>
        <v>0.24205601887976358</v>
      </c>
      <c r="W27" s="16">
        <f t="shared" ca="1" si="25"/>
        <v>0.24205601887976358</v>
      </c>
      <c r="X27" s="16">
        <f t="shared" ca="1" si="26"/>
        <v>0.48411203775952716</v>
      </c>
      <c r="Y27" s="16">
        <f t="shared" ca="1" si="27"/>
        <v>3.1775924480945662E-2</v>
      </c>
      <c r="Z27" s="16">
        <f t="shared" ca="1" si="28"/>
        <v>0</v>
      </c>
      <c r="AA27" s="16">
        <f t="shared" ca="1" si="29"/>
        <v>0</v>
      </c>
      <c r="AB27" s="16">
        <f t="shared" ca="1" si="30"/>
        <v>0</v>
      </c>
      <c r="AC27" s="16">
        <f t="shared" ca="1" si="31"/>
        <v>0</v>
      </c>
      <c r="AD27" s="16">
        <f t="shared" ca="1" si="32"/>
        <v>0</v>
      </c>
      <c r="AE27" s="16">
        <f t="shared" ca="1" si="33"/>
        <v>0</v>
      </c>
      <c r="AF27" s="23">
        <f ca="1">SUMIFS(INDIRECT("'"&amp;A$21&amp;" - 1040'!$N:$N"), INDIRECT("'"&amp;A$21&amp;" - 1040'!$A:$A"), "&gt;"&amp;INDEX(Console!$A$6:$E$14, MATCH($A13, Console!$A$6:$A$123, 0), MATCH(A$21, Console!$A$6:$E$6, 0)), INDIRECT("'"&amp;A$21&amp;" - 1040'!$A:$A"), IFERROR("&lt;="&amp;IF(INDEX(Console!$A$6:$E$14, MATCH($A13, Console!$A$6:$A$123, 0)+1, MATCH(A$21, Console!$A$6:$E$6, 0))=0, NA(), INDEX(Console!$A$6:$E$14, MATCH($A13, Console!$A$6:$A$123, 0)+1, MATCH(A$21, Console!$A$6:$E$6, 0))),"&gt;0"))</f>
        <v>397835488</v>
      </c>
      <c r="AG27" s="16"/>
    </row>
    <row r="28" spans="1:34" x14ac:dyDescent="0.25">
      <c r="A28" s="20">
        <f>Console!A12</f>
        <v>6.9000000000000006E-2</v>
      </c>
      <c r="B28" s="8">
        <f>Console!C12</f>
        <v>500000</v>
      </c>
      <c r="C28" s="5">
        <f ca="1">SUMIFS(INDIRECT("'"&amp;A$21&amp;" - 1040'!$G:$G"), INDIRECT("'"&amp;A$21&amp;" - 1040'!$A:$A"), "&gt;"&amp;INDEX(Console!$A$6:$E$14, MATCH($A28, Console!$A$6:$A$123, 0), MATCH(A$21, Console!$A$6:$E$6, 0)), INDIRECT("'"&amp;A$21&amp;" - 1040'!$A:$A"), IFERROR("&lt;="&amp;IF(INDEX(Console!$A$6:$E$14, MATCH($A28, Console!$A$6:$A$123, 0)+1, MATCH(A$21, Console!$A$6:$E$6, 0))=0, NA(), INDEX(Console!$A$6:$E$14, MATCH($A28, Console!$A$6:$A$123, 0)+1, MATCH(A$21, Console!$A$6:$E$6, 0))),"&gt;0"))</f>
        <v>12602117324</v>
      </c>
      <c r="D28" s="5">
        <f ca="1">SUMIFS(INDIRECT("'"&amp;A$21&amp;" - 1040'!$C:$C"), INDIRECT("'"&amp;A$21&amp;" - 1040'!$A:$A"), "&gt;"&amp;INDEX(Console!$A$6:$E$14, MATCH($A14, Console!$A$6:$A$123, 0), MATCH(A$21, Console!$A$6:$E$6, 0)), INDIRECT("'"&amp;A$21&amp;" - 1040'!$A:$A"), IFERROR("&lt;="&amp;IF(INDEX(Console!$A$6:$E$14, MATCH($A14, Console!$A$6:$A$123, 0)+1, MATCH(A$21, Console!$A$6:$E$6, 0))=0, NA(), INDEX(Console!$A$6:$E$14, MATCH($A14, Console!$A$6:$A$123, 0)+1, MATCH(A$21, Console!$A$6:$E$6, 0))),"&gt;0"))</f>
        <v>18520</v>
      </c>
      <c r="E28" s="5">
        <f t="shared" ca="1" si="18"/>
        <v>680459.89870410366</v>
      </c>
      <c r="F28">
        <f ca="1">IF(E28&lt;Console!C$21, Console!C$20, MAX((Console!C$22-E28)/1000*Console!C$23, 0))</f>
        <v>0</v>
      </c>
      <c r="G28">
        <f ca="1">IF(E28&gt;Console!C$31, MIN((E28-Console!C$31)*Console!C$33/1000, Console!C$32), 0)+IF(E28&gt;Console!C$36, MIN((E28-Console!C$36)*Console!C$38/1000, Console!C$37), 0)</f>
        <v>5048.2781766738663</v>
      </c>
      <c r="H28" s="5">
        <f t="shared" ca="1" si="19"/>
        <v>93494111.832000002</v>
      </c>
      <c r="I28" s="18">
        <f ca="1">IF(E28&gt;Console!C$26, IF(E28&lt;Console!C$27, (E28-Console!C$26)*Console!C$28/1000, (Console!C$27-Console!C$26)*Console!C$28/1000), 0)</f>
        <v>20000</v>
      </c>
      <c r="J28" s="5">
        <f t="shared" ca="1" si="20"/>
        <v>0</v>
      </c>
      <c r="K28" s="5">
        <f t="shared" ca="1" si="21"/>
        <v>100000</v>
      </c>
      <c r="L28" s="5">
        <f t="shared" ca="1" si="22"/>
        <v>100000</v>
      </c>
      <c r="M28" s="5">
        <f t="shared" ca="1" si="22"/>
        <v>200000</v>
      </c>
      <c r="N28" s="5">
        <f t="shared" ca="1" si="22"/>
        <v>100000</v>
      </c>
      <c r="O28" s="5">
        <f t="shared" ca="1" si="22"/>
        <v>180459.89870410366</v>
      </c>
      <c r="P28" s="5">
        <f t="shared" ca="1" si="22"/>
        <v>0</v>
      </c>
      <c r="Q28" s="5">
        <f t="shared" ca="1" si="22"/>
        <v>0</v>
      </c>
      <c r="R28" s="5">
        <f t="shared" ca="1" si="22"/>
        <v>0</v>
      </c>
      <c r="S28" s="5">
        <f t="shared" ca="1" si="22"/>
        <v>0</v>
      </c>
      <c r="T28" s="18">
        <f t="shared" ca="1" si="22"/>
        <v>0</v>
      </c>
      <c r="U28" s="16">
        <f t="shared" ca="1" si="23"/>
        <v>0</v>
      </c>
      <c r="V28" s="16">
        <f t="shared" ca="1" si="24"/>
        <v>0.14695943168795719</v>
      </c>
      <c r="W28" s="16">
        <f t="shared" ca="1" si="25"/>
        <v>0.14695943168795719</v>
      </c>
      <c r="X28" s="16">
        <f t="shared" ca="1" si="26"/>
        <v>0.29391886337591439</v>
      </c>
      <c r="Y28" s="16">
        <f t="shared" ca="1" si="27"/>
        <v>0.14695943168795719</v>
      </c>
      <c r="Z28" s="16">
        <f t="shared" ca="1" si="28"/>
        <v>0.26520284156021401</v>
      </c>
      <c r="AA28" s="16">
        <f t="shared" ca="1" si="29"/>
        <v>0</v>
      </c>
      <c r="AB28" s="16">
        <f t="shared" ca="1" si="30"/>
        <v>0</v>
      </c>
      <c r="AC28" s="16">
        <f t="shared" ca="1" si="31"/>
        <v>0</v>
      </c>
      <c r="AD28" s="16">
        <f t="shared" ca="1" si="32"/>
        <v>0</v>
      </c>
      <c r="AE28" s="16">
        <f t="shared" ca="1" si="33"/>
        <v>0</v>
      </c>
      <c r="AF28" s="23">
        <f ca="1">SUMIFS(INDIRECT("'"&amp;A$21&amp;" - 1040'!$N:$N"), INDIRECT("'"&amp;A$21&amp;" - 1040'!$A:$A"), "&gt;"&amp;INDEX(Console!$A$6:$E$14, MATCH($A14, Console!$A$6:$A$123, 0), MATCH(A$21, Console!$A$6:$E$6, 0)), INDIRECT("'"&amp;A$21&amp;" - 1040'!$A:$A"), IFERROR("&lt;="&amp;IF(INDEX(Console!$A$6:$E$14, MATCH($A14, Console!$A$6:$A$123, 0)+1, MATCH(A$21, Console!$A$6:$E$6, 0))=0, NA(), INDEX(Console!$A$6:$E$14, MATCH($A14, Console!$A$6:$A$123, 0)+1, MATCH(A$21, Console!$A$6:$E$6, 0))),"&gt;0"))</f>
        <v>636125336</v>
      </c>
      <c r="AG28" s="16"/>
    </row>
    <row r="29" spans="1:34" x14ac:dyDescent="0.25">
      <c r="A29" s="20">
        <f>Console!A13</f>
        <v>6.9900000000000004E-2</v>
      </c>
      <c r="B29" s="8">
        <f>Console!C13</f>
        <v>1000000</v>
      </c>
      <c r="C29" s="5">
        <f ca="1">SUMIFS(INDIRECT("'"&amp;A$21&amp;" - 1040'!$G:$G"), INDIRECT("'"&amp;A$21&amp;" - 1040'!$A:$A"), "&gt;"&amp;INDEX(Console!$A$6:$E$14, MATCH($A29, Console!$A$6:$A$123, 0), MATCH(A$21, Console!$A$6:$E$6, 0)), INDIRECT("'"&amp;A$21&amp;" - 1040'!$A:$A"), IFERROR("&lt;="&amp;IF(INDEX(Console!$A$6:$E$14, MATCH($A29, Console!$A$6:$A$123, 0)+1, MATCH(A$21, Console!$A$6:$E$6, 0))=0, NA(), INDEX(Console!$A$6:$E$14, MATCH($A29, Console!$A$6:$A$123, 0)+1, MATCH(A$21, Console!$A$6:$E$6, 0))),"&gt;0"))</f>
        <v>41437987320</v>
      </c>
      <c r="D29" s="5">
        <f ca="1">SUMIFS(INDIRECT("'"&amp;A$21&amp;" - 1040'!$C:$C"), INDIRECT("'"&amp;A$21&amp;" - 1040'!$A:$A"), "&gt;"&amp;INDEX(Console!$A$6:$E$14, MATCH($A15, Console!$A$6:$A$123, 0), MATCH(A$21, Console!$A$6:$E$6, 0)), INDIRECT("'"&amp;A$21&amp;" - 1040'!$A:$A"), IFERROR("&lt;="&amp;IF(INDEX(Console!$A$6:$E$14, MATCH($A15, Console!$A$6:$A$123, 0)+1, MATCH(A$21, Console!$A$6:$E$6, 0))=0, NA(), INDEX(Console!$A$6:$E$14, MATCH($A15, Console!$A$6:$A$123, 0)+1, MATCH(A$21, Console!$A$6:$E$6, 0))),"&gt;0"))</f>
        <v>11056</v>
      </c>
      <c r="E29" s="5">
        <f t="shared" ca="1" si="18"/>
        <v>3748008.9833574528</v>
      </c>
      <c r="F29">
        <f ca="1">IF(E29&lt;Console!C$21, Console!C$20, MAX((Console!C$22-E29)/1000*Console!C$23, 0))</f>
        <v>0</v>
      </c>
      <c r="G29">
        <f ca="1">IF(E29&gt;Console!C$31, MIN((E29-Console!C$31)*Console!C$33/1000, Console!C$32), 0)+IF(E29&gt;Console!C$36, MIN((E29-Console!C$36)*Console!C$38/1000, Console!C$37), 0)</f>
        <v>6300</v>
      </c>
      <c r="H29" s="5">
        <f t="shared" ca="1" si="19"/>
        <v>69652800</v>
      </c>
      <c r="I29" s="18">
        <f ca="1">IF(E29&gt;Console!C$26, IF(E29&lt;Console!C$27, (E29-Console!C$26)*Console!C$28/1000, (Console!C$27-Console!C$26)*Console!C$28/1000), 0)</f>
        <v>20000</v>
      </c>
      <c r="J29" s="5">
        <f t="shared" ca="1" si="20"/>
        <v>0</v>
      </c>
      <c r="K29" s="5">
        <f t="shared" ca="1" si="21"/>
        <v>100000</v>
      </c>
      <c r="L29" s="5">
        <f t="shared" ca="1" si="22"/>
        <v>100000</v>
      </c>
      <c r="M29" s="5">
        <f t="shared" ca="1" si="22"/>
        <v>200000</v>
      </c>
      <c r="N29" s="5">
        <f t="shared" ca="1" si="22"/>
        <v>100000</v>
      </c>
      <c r="O29" s="5">
        <f t="shared" ca="1" si="22"/>
        <v>500000</v>
      </c>
      <c r="P29" s="5">
        <f t="shared" ca="1" si="22"/>
        <v>2748008.9833574528</v>
      </c>
      <c r="Q29" s="5">
        <f t="shared" ca="1" si="22"/>
        <v>0</v>
      </c>
      <c r="R29" s="5">
        <f t="shared" ca="1" si="22"/>
        <v>0</v>
      </c>
      <c r="S29" s="5">
        <f t="shared" ca="1" si="22"/>
        <v>0</v>
      </c>
      <c r="T29" s="18">
        <f t="shared" ca="1" si="22"/>
        <v>0</v>
      </c>
      <c r="U29" s="16">
        <f t="shared" ca="1" si="23"/>
        <v>0</v>
      </c>
      <c r="V29" s="16">
        <f t="shared" ca="1" si="24"/>
        <v>2.6680832528426963E-2</v>
      </c>
      <c r="W29" s="16">
        <f t="shared" ca="1" si="25"/>
        <v>2.6680832528426963E-2</v>
      </c>
      <c r="X29" s="16">
        <f t="shared" ca="1" si="26"/>
        <v>5.3361665056853927E-2</v>
      </c>
      <c r="Y29" s="16">
        <f t="shared" ca="1" si="27"/>
        <v>2.6680832528426963E-2</v>
      </c>
      <c r="Z29" s="16">
        <f t="shared" ca="1" si="28"/>
        <v>0.13340416264213481</v>
      </c>
      <c r="AA29" s="16">
        <f t="shared" ca="1" si="29"/>
        <v>0.73319167471573032</v>
      </c>
      <c r="AB29" s="16">
        <f t="shared" ca="1" si="30"/>
        <v>0</v>
      </c>
      <c r="AC29" s="16">
        <f t="shared" ca="1" si="31"/>
        <v>0</v>
      </c>
      <c r="AD29" s="16">
        <f t="shared" ca="1" si="32"/>
        <v>0</v>
      </c>
      <c r="AE29" s="16">
        <f t="shared" ca="1" si="33"/>
        <v>0</v>
      </c>
      <c r="AF29" s="23">
        <f ca="1">SUMIFS(INDIRECT("'"&amp;A$21&amp;" - 1040'!$N:$N"), INDIRECT("'"&amp;A$21&amp;" - 1040'!$A:$A"), "&gt;"&amp;INDEX(Console!$A$6:$E$14, MATCH($A15, Console!$A$6:$A$123, 0), MATCH(A$21, Console!$A$6:$E$6, 0)), INDIRECT("'"&amp;A$21&amp;" - 1040'!$A:$A"), IFERROR("&lt;="&amp;IF(INDEX(Console!$A$6:$E$14, MATCH($A15, Console!$A$6:$A$123, 0)+1, MATCH(A$21, Console!$A$6:$E$6, 0))=0, NA(), INDEX(Console!$A$6:$E$14, MATCH($A15, Console!$A$6:$A$123, 0)+1, MATCH(A$21, Console!$A$6:$E$6, 0))),"&gt;0"))</f>
        <v>2104281603</v>
      </c>
      <c r="AG29" s="16"/>
    </row>
    <row r="30" spans="1:34" x14ac:dyDescent="0.25">
      <c r="A30" s="20">
        <f>Console!A14</f>
        <v>0</v>
      </c>
      <c r="B30" s="8">
        <f>Console!C14</f>
        <v>0</v>
      </c>
      <c r="C30" s="5">
        <f ca="1">SUMIFS(INDIRECT("'"&amp;A$21&amp;" - 1040'!$G:$G"), INDIRECT("'"&amp;A$21&amp;" - 1040'!$A:$A"), "&gt;"&amp;INDEX(Console!$A$6:$E$14, MATCH($A30, Console!$A$6:$A$123, 0), MATCH(A$21, Console!$A$6:$E$6, 0)), INDIRECT("'"&amp;A$21&amp;" - 1040'!$A:$A"), IFERROR("&lt;="&amp;IF(INDEX(Console!$A$6:$E$14, MATCH($A30, Console!$A$6:$A$123, 0)+1, MATCH(A$21, Console!$A$6:$E$6, 0))=0, NA(), INDEX(Console!$A$6:$E$14, MATCH($A30, Console!$A$6:$A$123, 0)+1, MATCH(A$21, Console!$A$6:$E$6, 0))),"&gt;0"))</f>
        <v>0</v>
      </c>
      <c r="D30" s="5">
        <f ca="1">SUMIFS(INDIRECT("'"&amp;A$21&amp;" - 1040'!$C:$C"), INDIRECT("'"&amp;A$21&amp;" - 1040'!$A:$A"), "&gt;"&amp;INDEX(Console!$A$6:$E$14, MATCH($A16, Console!$A$6:$A$123, 0), MATCH(A$21, Console!$A$6:$E$6, 0)), INDIRECT("'"&amp;A$21&amp;" - 1040'!$A:$A"), IFERROR("&lt;="&amp;IF(INDEX(Console!$A$6:$E$14, MATCH($A16, Console!$A$6:$A$123, 0)+1, MATCH(A$21, Console!$A$6:$E$6, 0))=0, NA(), INDEX(Console!$A$6:$E$14, MATCH($A16, Console!$A$6:$A$123, 0)+1, MATCH(A$21, Console!$A$6:$E$6, 0))),"&gt;0"))</f>
        <v>0</v>
      </c>
      <c r="E30" s="5">
        <f t="shared" ca="1" si="18"/>
        <v>0</v>
      </c>
      <c r="F30">
        <f ca="1">IF(E30&lt;Console!C$21, Console!C$20, MAX((Console!C$22-E30)/1000*Console!C$23, 0))</f>
        <v>24000</v>
      </c>
      <c r="G30">
        <f ca="1">IF(E30&gt;Console!C$31, MIN((E30-Console!C$31)*Console!C$33/1000, Console!C$32), 0)+IF(E30&gt;Console!C$36, MIN((E30-Console!C$36)*Console!C$38/1000, Console!C$37), 0)</f>
        <v>0</v>
      </c>
      <c r="H30" s="5">
        <f t="shared" ca="1" si="19"/>
        <v>0</v>
      </c>
      <c r="I30" s="18">
        <f ca="1">IF(E30&gt;Console!C$26, IF(E30&lt;Console!C$27, (E30-Console!C$26)*Console!C$28/1000, (Console!C$27-Console!C$26)*Console!C$28/1000), 0)</f>
        <v>0</v>
      </c>
      <c r="J30" s="5">
        <f t="shared" ca="1" si="20"/>
        <v>0</v>
      </c>
      <c r="K30" s="5">
        <f t="shared" ca="1" si="21"/>
        <v>0</v>
      </c>
      <c r="L30" s="5">
        <f t="shared" ca="1" si="22"/>
        <v>0</v>
      </c>
      <c r="M30" s="5">
        <f t="shared" ca="1" si="22"/>
        <v>0</v>
      </c>
      <c r="N30" s="5">
        <f t="shared" ca="1" si="22"/>
        <v>0</v>
      </c>
      <c r="O30" s="5">
        <f t="shared" ca="1" si="22"/>
        <v>0</v>
      </c>
      <c r="P30" s="5">
        <f t="shared" ca="1" si="22"/>
        <v>0</v>
      </c>
      <c r="Q30" s="5">
        <f t="shared" ca="1" si="22"/>
        <v>0</v>
      </c>
      <c r="R30" s="5">
        <f t="shared" ca="1" si="22"/>
        <v>0</v>
      </c>
      <c r="S30" s="5">
        <f t="shared" ca="1" si="22"/>
        <v>0</v>
      </c>
      <c r="T30" s="18">
        <f t="shared" ca="1" si="22"/>
        <v>0</v>
      </c>
      <c r="U30" s="16">
        <f t="shared" ca="1" si="23"/>
        <v>1</v>
      </c>
      <c r="V30" s="16">
        <f t="shared" ca="1" si="24"/>
        <v>0</v>
      </c>
      <c r="W30" s="16">
        <f t="shared" ca="1" si="25"/>
        <v>0</v>
      </c>
      <c r="X30" s="16">
        <f t="shared" ca="1" si="26"/>
        <v>0</v>
      </c>
      <c r="Y30" s="16">
        <f t="shared" ca="1" si="27"/>
        <v>0</v>
      </c>
      <c r="Z30" s="16">
        <f t="shared" ca="1" si="28"/>
        <v>0</v>
      </c>
      <c r="AA30" s="16">
        <f t="shared" ca="1" si="29"/>
        <v>0</v>
      </c>
      <c r="AB30" s="16">
        <f t="shared" ca="1" si="30"/>
        <v>0</v>
      </c>
      <c r="AC30" s="16">
        <f t="shared" ca="1" si="31"/>
        <v>0</v>
      </c>
      <c r="AD30" s="16">
        <f t="shared" ca="1" si="32"/>
        <v>0</v>
      </c>
      <c r="AE30" s="16">
        <f t="shared" ca="1" si="33"/>
        <v>0</v>
      </c>
      <c r="AF30" s="23">
        <f ca="1">SUMIFS(INDIRECT("'"&amp;A$21&amp;" - 1040'!$N:$N"), INDIRECT("'"&amp;A$21&amp;" - 1040'!$A:$A"), "&gt;"&amp;INDEX(Console!$A$6:$E$14, MATCH($A16, Console!$A$6:$A$123, 0), MATCH(A$21, Console!$A$6:$E$6, 0)), INDIRECT("'"&amp;A$21&amp;" - 1040'!$A:$A"), IFERROR("&lt;="&amp;IF(INDEX(Console!$A$6:$E$14, MATCH($A16, Console!$A$6:$A$123, 0)+1, MATCH(A$21, Console!$A$6:$E$6, 0))=0, NA(), INDEX(Console!$A$6:$E$14, MATCH($A16, Console!$A$6:$A$123, 0)+1, MATCH(A$21, Console!$A$6:$E$6, 0))),"&gt;0"))</f>
        <v>0</v>
      </c>
      <c r="AG30" s="16"/>
    </row>
    <row r="31" spans="1:34" x14ac:dyDescent="0.25">
      <c r="A31" s="20">
        <f>Console!A15</f>
        <v>0</v>
      </c>
      <c r="B31" s="8">
        <f>Console!C15</f>
        <v>0</v>
      </c>
      <c r="C31" s="5">
        <f ca="1">SUMIFS(INDIRECT("'"&amp;A$21&amp;" - 1040'!$G:$G"), INDIRECT("'"&amp;A$21&amp;" - 1040'!$A:$A"), "&gt;"&amp;INDEX(Console!$A$6:$E$14, MATCH($A31, Console!$A$6:$A$123, 0), MATCH(A$21, Console!$A$6:$E$6, 0)), INDIRECT("'"&amp;A$21&amp;" - 1040'!$A:$A"), IFERROR("&lt;="&amp;IF(INDEX(Console!$A$6:$E$14, MATCH($A31, Console!$A$6:$A$123, 0)+1, MATCH(A$21, Console!$A$6:$E$6, 0))=0, NA(), INDEX(Console!$A$6:$E$14, MATCH($A31, Console!$A$6:$A$123, 0)+1, MATCH(A$21, Console!$A$6:$E$6, 0))),"&gt;0"))</f>
        <v>0</v>
      </c>
      <c r="D31" s="5">
        <f ca="1">SUMIFS(INDIRECT("'"&amp;A$21&amp;" - 1040'!$C:$C"), INDIRECT("'"&amp;A$21&amp;" - 1040'!$A:$A"), "&gt;"&amp;INDEX(Console!$A$6:$E$14, MATCH($A17, Console!$A$6:$A$123, 0), MATCH(A$21, Console!$A$6:$E$6, 0)), INDIRECT("'"&amp;A$21&amp;" - 1040'!$A:$A"), IFERROR("&lt;="&amp;IF(INDEX(Console!$A$6:$E$14, MATCH($A17, Console!$A$6:$A$123, 0)+1, MATCH(A$21, Console!$A$6:$E$6, 0))=0, NA(), INDEX(Console!$A$6:$E$14, MATCH($A17, Console!$A$6:$A$123, 0)+1, MATCH(A$21, Console!$A$6:$E$6, 0))),"&gt;0"))</f>
        <v>0</v>
      </c>
      <c r="E31" s="5">
        <f t="shared" ca="1" si="18"/>
        <v>0</v>
      </c>
      <c r="F31">
        <f ca="1">IF(E31&lt;Console!C$21, Console!C$20, MAX((Console!C$22-E31)/1000*Console!C$23, 0))</f>
        <v>24000</v>
      </c>
      <c r="G31">
        <f ca="1">IF(E31&gt;Console!C$31, MIN((E31-Console!C$31)*Console!C$33/1000, Console!C$32), 0)+IF(E31&gt;Console!C$36, MIN((E31-Console!C$36)*Console!C$38/1000, Console!C$37), 0)</f>
        <v>0</v>
      </c>
      <c r="H31" s="5">
        <f t="shared" ca="1" si="19"/>
        <v>0</v>
      </c>
      <c r="I31" s="18">
        <f ca="1">IF(E31&gt;Console!C$26, IF(E31&lt;Console!C$27, (E31-Console!C$26)*Console!C$28/1000, (Console!C$27-Console!C$26)*Console!C$28/1000), 0)</f>
        <v>0</v>
      </c>
      <c r="J31" s="5">
        <f t="shared" ca="1" si="20"/>
        <v>0</v>
      </c>
      <c r="K31" s="5">
        <f t="shared" ca="1" si="21"/>
        <v>0</v>
      </c>
      <c r="L31" s="5">
        <f t="shared" ca="1" si="22"/>
        <v>0</v>
      </c>
      <c r="M31" s="5">
        <f t="shared" ca="1" si="22"/>
        <v>0</v>
      </c>
      <c r="N31" s="5">
        <f t="shared" ca="1" si="22"/>
        <v>0</v>
      </c>
      <c r="O31" s="5">
        <f t="shared" ca="1" si="22"/>
        <v>0</v>
      </c>
      <c r="P31" s="5">
        <f t="shared" ca="1" si="22"/>
        <v>0</v>
      </c>
      <c r="Q31" s="5">
        <f t="shared" ca="1" si="22"/>
        <v>0</v>
      </c>
      <c r="R31" s="5">
        <f t="shared" ca="1" si="22"/>
        <v>0</v>
      </c>
      <c r="S31" s="5">
        <f t="shared" ca="1" si="22"/>
        <v>0</v>
      </c>
      <c r="T31" s="18">
        <f t="shared" ca="1" si="22"/>
        <v>0</v>
      </c>
      <c r="U31" s="16">
        <f t="shared" ca="1" si="23"/>
        <v>1</v>
      </c>
      <c r="V31" s="16">
        <f t="shared" ca="1" si="24"/>
        <v>0</v>
      </c>
      <c r="W31" s="16">
        <f t="shared" ca="1" si="25"/>
        <v>0</v>
      </c>
      <c r="X31" s="16">
        <f t="shared" ca="1" si="26"/>
        <v>0</v>
      </c>
      <c r="Y31" s="16">
        <f t="shared" ca="1" si="27"/>
        <v>0</v>
      </c>
      <c r="Z31" s="16">
        <f t="shared" ca="1" si="28"/>
        <v>0</v>
      </c>
      <c r="AA31" s="16">
        <f t="shared" ca="1" si="29"/>
        <v>0</v>
      </c>
      <c r="AB31" s="16">
        <f t="shared" ca="1" si="30"/>
        <v>0</v>
      </c>
      <c r="AC31" s="16">
        <f t="shared" ca="1" si="31"/>
        <v>0</v>
      </c>
      <c r="AD31" s="16">
        <f t="shared" ca="1" si="32"/>
        <v>0</v>
      </c>
      <c r="AE31" s="16">
        <f t="shared" ca="1" si="33"/>
        <v>0</v>
      </c>
      <c r="AF31" s="23">
        <f ca="1">SUMIFS(INDIRECT("'"&amp;A$21&amp;" - 1040'!$N:$N"), INDIRECT("'"&amp;A$21&amp;" - 1040'!$A:$A"), "&gt;"&amp;INDEX(Console!$A$6:$E$14, MATCH($A17, Console!$A$6:$A$123, 0), MATCH(A$21, Console!$A$6:$E$6, 0)), INDIRECT("'"&amp;A$21&amp;" - 1040'!$A:$A"), IFERROR("&lt;="&amp;IF(INDEX(Console!$A$6:$E$14, MATCH($A17, Console!$A$6:$A$123, 0)+1, MATCH(A$21, Console!$A$6:$E$6, 0))=0, NA(), INDEX(Console!$A$6:$E$14, MATCH($A17, Console!$A$6:$A$123, 0)+1, MATCH(A$21, Console!$A$6:$E$6, 0))),"&gt;0"))</f>
        <v>0</v>
      </c>
      <c r="AG31" s="16"/>
    </row>
    <row r="32" spans="1:34" x14ac:dyDescent="0.25">
      <c r="A32" s="20">
        <f>Console!A16</f>
        <v>0</v>
      </c>
      <c r="B32" s="8">
        <f>Console!C16</f>
        <v>0</v>
      </c>
      <c r="C32" s="5">
        <f ca="1">SUMIFS(INDIRECT("'"&amp;A$21&amp;" - 1040'!$G:$G"), INDIRECT("'"&amp;A$21&amp;" - 1040'!$A:$A"), "&gt;"&amp;INDEX(Console!$A$6:$E$14, MATCH($A32, Console!$A$6:$A$123, 0), MATCH(A$21, Console!$A$6:$E$6, 0)), INDIRECT("'"&amp;A$21&amp;" - 1040'!$A:$A"), IFERROR("&lt;="&amp;IF(INDEX(Console!$A$6:$E$14, MATCH($A32, Console!$A$6:$A$123, 0)+1, MATCH(A$21, Console!$A$6:$E$6, 0))=0, NA(), INDEX(Console!$A$6:$E$14, MATCH($A32, Console!$A$6:$A$123, 0)+1, MATCH(A$21, Console!$A$6:$E$6, 0))),"&gt;0"))</f>
        <v>0</v>
      </c>
      <c r="D32" s="5">
        <f ca="1">SUMIFS(INDIRECT("'"&amp;A$21&amp;" - 1040'!$C:$C"), INDIRECT("'"&amp;A$21&amp;" - 1040'!$A:$A"), "&gt;"&amp;INDEX(Console!$A$6:$E$14, MATCH($A18, Console!$A$6:$A$123, 0), MATCH(A$21, Console!$A$6:$E$6, 0)), INDIRECT("'"&amp;A$21&amp;" - 1040'!$A:$A"), IFERROR("&lt;="&amp;IF(INDEX(Console!$A$6:$E$14, MATCH($A18, Console!$A$6:$A$123, 0)+1, MATCH(A$21, Console!$A$6:$E$6, 0))=0, NA(), INDEX(Console!$A$6:$E$14, MATCH($A18, Console!$A$6:$A$123, 0)+1, MATCH(A$21, Console!$A$6:$E$6, 0))),"&gt;0"))</f>
        <v>0</v>
      </c>
      <c r="E32" s="5">
        <f t="shared" ca="1" si="18"/>
        <v>0</v>
      </c>
      <c r="F32">
        <f ca="1">IF(E32&lt;Console!C$21, Console!C$20, MAX((Console!C$22-E32)/1000*Console!C$23, 0))</f>
        <v>24000</v>
      </c>
      <c r="G32">
        <f ca="1">IF(E32&gt;Console!C$31, MIN((E32-Console!C$31)*Console!C$33/1000, Console!C$32), 0)+IF(E32&gt;Console!C$36, MIN((E32-Console!C$36)*Console!C$38/1000, Console!C$37), 0)</f>
        <v>0</v>
      </c>
      <c r="H32" s="5">
        <f t="shared" ca="1" si="19"/>
        <v>0</v>
      </c>
      <c r="I32" s="18">
        <f ca="1">IF(E32&gt;Console!C$26, IF(E32&lt;Console!C$27, (E32-Console!C$26)*Console!C$28/1000, (Console!C$27-Console!C$26)*Console!C$28/1000), 0)</f>
        <v>0</v>
      </c>
      <c r="J32" s="5">
        <f t="shared" ca="1" si="20"/>
        <v>0</v>
      </c>
      <c r="K32" s="5">
        <f t="shared" ca="1" si="21"/>
        <v>0</v>
      </c>
      <c r="L32" s="5">
        <f t="shared" ca="1" si="22"/>
        <v>0</v>
      </c>
      <c r="M32" s="5">
        <f t="shared" ca="1" si="22"/>
        <v>0</v>
      </c>
      <c r="N32" s="5">
        <f t="shared" ca="1" si="22"/>
        <v>0</v>
      </c>
      <c r="O32" s="5">
        <f t="shared" ca="1" si="22"/>
        <v>0</v>
      </c>
      <c r="P32" s="5">
        <f t="shared" ca="1" si="22"/>
        <v>0</v>
      </c>
      <c r="Q32" s="5">
        <f t="shared" ca="1" si="22"/>
        <v>0</v>
      </c>
      <c r="R32" s="5">
        <f t="shared" ca="1" si="22"/>
        <v>0</v>
      </c>
      <c r="S32" s="5">
        <f t="shared" ca="1" si="22"/>
        <v>0</v>
      </c>
      <c r="T32" s="18">
        <f t="shared" ca="1" si="22"/>
        <v>0</v>
      </c>
      <c r="U32" s="16">
        <f t="shared" ca="1" si="23"/>
        <v>1</v>
      </c>
      <c r="V32" s="16">
        <f t="shared" ca="1" si="24"/>
        <v>0</v>
      </c>
      <c r="W32" s="16">
        <f t="shared" ca="1" si="25"/>
        <v>0</v>
      </c>
      <c r="X32" s="16">
        <f t="shared" ca="1" si="26"/>
        <v>0</v>
      </c>
      <c r="Y32" s="16">
        <f t="shared" ca="1" si="27"/>
        <v>0</v>
      </c>
      <c r="Z32" s="16">
        <f t="shared" ca="1" si="28"/>
        <v>0</v>
      </c>
      <c r="AA32" s="16">
        <f t="shared" ca="1" si="29"/>
        <v>0</v>
      </c>
      <c r="AB32" s="16">
        <f t="shared" ca="1" si="30"/>
        <v>0</v>
      </c>
      <c r="AC32" s="16">
        <f t="shared" ca="1" si="31"/>
        <v>0</v>
      </c>
      <c r="AD32" s="16">
        <f t="shared" ca="1" si="32"/>
        <v>0</v>
      </c>
      <c r="AE32" s="16">
        <f t="shared" ca="1" si="33"/>
        <v>0</v>
      </c>
      <c r="AF32" s="23">
        <f ca="1">SUMIFS(INDIRECT("'"&amp;A$21&amp;" - 1040'!$N:$N"), INDIRECT("'"&amp;A$21&amp;" - 1040'!$A:$A"), "&gt;"&amp;INDEX(Console!$A$6:$E$14, MATCH($A18, Console!$A$6:$A$123, 0), MATCH(A$21, Console!$A$6:$E$6, 0)), INDIRECT("'"&amp;A$21&amp;" - 1040'!$A:$A"), IFERROR("&lt;="&amp;IF(INDEX(Console!$A$6:$E$14, MATCH($A18, Console!$A$6:$A$123, 0)+1, MATCH(A$21, Console!$A$6:$E$6, 0))=0, NA(), INDEX(Console!$A$6:$E$14, MATCH($A18, Console!$A$6:$A$123, 0)+1, MATCH(A$21, Console!$A$6:$E$6, 0))),"&gt;0"))</f>
        <v>0</v>
      </c>
      <c r="AG32" s="16"/>
    </row>
    <row r="33" spans="1:33" x14ac:dyDescent="0.25">
      <c r="A33" s="20">
        <f>Console!A17</f>
        <v>0</v>
      </c>
      <c r="B33" s="8">
        <f>Console!C17</f>
        <v>0</v>
      </c>
      <c r="C33" s="5">
        <f ca="1">SUMIFS(INDIRECT("'"&amp;A$21&amp;" - 1040'!$G:$G"), INDIRECT("'"&amp;A$21&amp;" - 1040'!$A:$A"), "&gt;"&amp;INDEX(Console!$A$6:$E$14, MATCH($A33, Console!$A$6:$A$123, 0), MATCH(A$21, Console!$A$6:$E$6, 0)), INDIRECT("'"&amp;A$21&amp;" - 1040'!$A:$A"), IFERROR("&lt;="&amp;IF(INDEX(Console!$A$6:$E$14, MATCH($A33, Console!$A$6:$A$123, 0)+1, MATCH(A$21, Console!$A$6:$E$6, 0))=0, NA(), INDEX(Console!$A$6:$E$14, MATCH($A33, Console!$A$6:$A$123, 0)+1, MATCH(A$21, Console!$A$6:$E$6, 0))),"&gt;0"))</f>
        <v>0</v>
      </c>
      <c r="D33" s="5">
        <f ca="1">SUMIFS(INDIRECT("'"&amp;A$21&amp;" - 1040'!$C:$C"), INDIRECT("'"&amp;A$21&amp;" - 1040'!$A:$A"), "&gt;"&amp;INDEX(Console!$A$6:$E$14, MATCH($A19, Console!$A$6:$A$123, 0), MATCH(A$21, Console!$A$6:$E$6, 0)), INDIRECT("'"&amp;A$21&amp;" - 1040'!$A:$A"), IFERROR("&lt;="&amp;IF(INDEX(Console!$A$6:$E$14, MATCH($A19, Console!$A$6:$A$123, 0)+1, MATCH(A$21, Console!$A$6:$E$6, 0))=0, NA(), INDEX(Console!$A$6:$E$14, MATCH($A19, Console!$A$6:$A$123, 0)+1, MATCH(A$21, Console!$A$6:$E$6, 0))),"&gt;0"))</f>
        <v>0</v>
      </c>
      <c r="E33" s="5">
        <f t="shared" ca="1" si="18"/>
        <v>0</v>
      </c>
      <c r="F33">
        <f ca="1">IF(E33&lt;Console!C$21, Console!C$20, MAX((Console!C$22-E33)/1000*Console!C$23, 0))</f>
        <v>24000</v>
      </c>
      <c r="G33">
        <f ca="1">IF(E33&gt;Console!C$31, MIN((E33-Console!C$31)*Console!C$33/1000, Console!C$32), 0)+IF(E33&gt;Console!C$36, MIN((E33-Console!C$36)*Console!C$38/1000, Console!C$37), 0)</f>
        <v>0</v>
      </c>
      <c r="H33" s="5">
        <f t="shared" ca="1" si="19"/>
        <v>0</v>
      </c>
      <c r="I33" s="18">
        <f ca="1">IF(E33&gt;Console!C$26, IF(E33&lt;Console!C$27, (E33-Console!C$26)*Console!C$28/1000, (Console!C$27-Console!C$26)*Console!C$28/1000), 0)</f>
        <v>0</v>
      </c>
      <c r="J33" s="5">
        <f t="shared" ca="1" si="20"/>
        <v>0</v>
      </c>
      <c r="K33" s="5">
        <f t="shared" ca="1" si="21"/>
        <v>0</v>
      </c>
      <c r="L33" s="5">
        <f t="shared" ca="1" si="22"/>
        <v>0</v>
      </c>
      <c r="M33" s="5">
        <f t="shared" ca="1" si="22"/>
        <v>0</v>
      </c>
      <c r="N33" s="5">
        <f t="shared" ca="1" si="22"/>
        <v>0</v>
      </c>
      <c r="O33" s="5">
        <f t="shared" ca="1" si="22"/>
        <v>0</v>
      </c>
      <c r="P33" s="5">
        <f t="shared" ca="1" si="22"/>
        <v>0</v>
      </c>
      <c r="Q33" s="5">
        <f t="shared" ca="1" si="22"/>
        <v>0</v>
      </c>
      <c r="R33" s="5">
        <f t="shared" ca="1" si="22"/>
        <v>0</v>
      </c>
      <c r="S33" s="5">
        <f t="shared" ca="1" si="22"/>
        <v>0</v>
      </c>
      <c r="T33" s="18">
        <f t="shared" ca="1" si="22"/>
        <v>0</v>
      </c>
      <c r="U33" s="16">
        <f t="shared" ca="1" si="23"/>
        <v>1</v>
      </c>
      <c r="V33" s="16">
        <f t="shared" ca="1" si="24"/>
        <v>0</v>
      </c>
      <c r="W33" s="16">
        <f t="shared" ca="1" si="25"/>
        <v>0</v>
      </c>
      <c r="X33" s="16">
        <f t="shared" ca="1" si="26"/>
        <v>0</v>
      </c>
      <c r="Y33" s="16">
        <f t="shared" ca="1" si="27"/>
        <v>0</v>
      </c>
      <c r="Z33" s="16">
        <f t="shared" ca="1" si="28"/>
        <v>0</v>
      </c>
      <c r="AA33" s="16">
        <f t="shared" ca="1" si="29"/>
        <v>0</v>
      </c>
      <c r="AB33" s="16">
        <f t="shared" ca="1" si="30"/>
        <v>0</v>
      </c>
      <c r="AC33" s="16">
        <f t="shared" ca="1" si="31"/>
        <v>0</v>
      </c>
      <c r="AD33" s="16">
        <f t="shared" ca="1" si="32"/>
        <v>0</v>
      </c>
      <c r="AE33" s="16">
        <f t="shared" ca="1" si="33"/>
        <v>0</v>
      </c>
      <c r="AF33" s="23">
        <f ca="1">SUMIFS(INDIRECT("'"&amp;A$21&amp;" - 1040'!$N:$N"), INDIRECT("'"&amp;A$21&amp;" - 1040'!$A:$A"), "&gt;"&amp;INDEX(Console!$A$6:$E$14, MATCH($A19, Console!$A$6:$A$123, 0), MATCH(A$21, Console!$A$6:$E$6, 0)), INDIRECT("'"&amp;A$21&amp;" - 1040'!$A:$A"), IFERROR("&lt;="&amp;IF(INDEX(Console!$A$6:$E$14, MATCH($A19, Console!$A$6:$A$123, 0)+1, MATCH(A$21, Console!$A$6:$E$6, 0))=0, NA(), INDEX(Console!$A$6:$E$14, MATCH($A19, Console!$A$6:$A$123, 0)+1, MATCH(A$21, Console!$A$6:$E$6, 0))),"&gt;0"))</f>
        <v>0</v>
      </c>
      <c r="AG33" s="16"/>
    </row>
    <row r="34" spans="1:33" x14ac:dyDescent="0.25">
      <c r="A34" s="71" t="s">
        <v>450</v>
      </c>
    </row>
    <row r="35" spans="1:33" ht="18" thickBot="1" x14ac:dyDescent="0.35">
      <c r="A35" s="72" t="s">
        <v>68</v>
      </c>
    </row>
    <row r="36" spans="1:33" ht="30.75" thickTop="1" x14ac:dyDescent="0.25">
      <c r="A36" s="27" t="s">
        <v>69</v>
      </c>
      <c r="B36" s="27" t="s">
        <v>85</v>
      </c>
      <c r="C36" s="27" t="s">
        <v>74</v>
      </c>
      <c r="D36" s="27" t="s">
        <v>75</v>
      </c>
      <c r="E36" s="27" t="s">
        <v>76</v>
      </c>
      <c r="F36" s="27" t="s">
        <v>77</v>
      </c>
      <c r="G36" s="27" t="s">
        <v>131</v>
      </c>
      <c r="H36" s="27" t="s">
        <v>132</v>
      </c>
      <c r="I36" s="27" t="s">
        <v>87</v>
      </c>
      <c r="J36" s="28">
        <v>0.03</v>
      </c>
      <c r="K36" s="28">
        <v>0.05</v>
      </c>
      <c r="L36" s="28">
        <v>5.5E-2</v>
      </c>
      <c r="M36" s="28">
        <v>0.06</v>
      </c>
      <c r="N36" s="28">
        <v>6.5000000000000002E-2</v>
      </c>
      <c r="O36" s="28">
        <v>6.9000000000000006E-2</v>
      </c>
      <c r="P36" s="28">
        <v>6.9900000000000004E-2</v>
      </c>
      <c r="Q36" s="28">
        <v>0</v>
      </c>
      <c r="R36" s="28">
        <v>0</v>
      </c>
      <c r="S36" s="28">
        <v>0</v>
      </c>
      <c r="T36" s="28">
        <v>0</v>
      </c>
      <c r="U36" s="28">
        <v>0.03</v>
      </c>
      <c r="V36" s="28">
        <v>0.05</v>
      </c>
      <c r="W36" s="28">
        <v>5.5E-2</v>
      </c>
      <c r="X36" s="28">
        <v>0.06</v>
      </c>
      <c r="Y36" s="28">
        <v>6.5000000000000002E-2</v>
      </c>
      <c r="Z36" s="28">
        <v>6.9000000000000006E-2</v>
      </c>
      <c r="AA36" s="28">
        <v>6.9900000000000004E-2</v>
      </c>
      <c r="AB36" s="28">
        <v>0</v>
      </c>
      <c r="AC36" s="28">
        <v>0</v>
      </c>
      <c r="AD36" s="28">
        <v>0</v>
      </c>
      <c r="AE36" s="28">
        <v>0</v>
      </c>
      <c r="AF36" s="28" t="s">
        <v>362</v>
      </c>
      <c r="AG36" s="22"/>
    </row>
    <row r="37" spans="1:33" x14ac:dyDescent="0.25">
      <c r="A37" s="20">
        <f>Console!A7</f>
        <v>0.03</v>
      </c>
      <c r="B37" s="8">
        <f>Console!D7</f>
        <v>0</v>
      </c>
      <c r="C37" s="5">
        <f ca="1">SUMIFS(INDIRECT("'"&amp;A$35&amp;" - 1040'!$G:$G"), INDIRECT("'"&amp;A$35&amp;" - 1040'!$A:$A"), "&gt;"&amp;INDEX(Console!$A$6:$E$14, MATCH($A37, Console!$A$6:$A$263, 0), MATCH(A$35, Console!$A$6:$E$6, 0)), INDIRECT("'"&amp;A$35&amp;" - 1040'!$A:$A"), IFERROR("&lt;="&amp;IF(INDEX(Console!$A$6:$E$14, MATCH($A37, Console!$A$6:$A$263, 0)+1, MATCH(A$35, Console!$A$6:$E$6, 0))=0, NA(), INDEX(Console!$A$6:$E$14, MATCH($A37, Console!$A$6:$A$263, 0)+1, MATCH(A$35, Console!$A$6:$E$6, 0))),"&gt;0"))</f>
        <v>14332066</v>
      </c>
      <c r="D37" s="5">
        <f ca="1">SUMIFS(INDIRECT("'"&amp;A$35&amp;" - 1040'!$C:$C"), INDIRECT("'"&amp;A$35&amp;" - 1040'!$A:$A"), "&gt;"&amp;INDEX(Console!$A$6:$E$14, MATCH($A9, Console!$A$6:$A$263, 0), MATCH(A$35, Console!$A$6:$E$6, 0)), INDIRECT("'"&amp;A$35&amp;" - 1040'!$A:$A"), IFERROR("&lt;="&amp;IF(INDEX(Console!$A$6:$E$14, MATCH($A9, Console!$A$6:$A$263, 0)+1, MATCH(A$35, Console!$A$6:$E$6, 0))=0, NA(), INDEX(Console!$A$6:$E$14, MATCH($A9, Console!$A$6:$A$263, 0)+1, MATCH(A$35, Console!$A$6:$E$6, 0))),"&gt;0"))</f>
        <v>3441</v>
      </c>
      <c r="E37" s="5">
        <f t="shared" ref="E37:E47" ca="1" si="34">IFERROR(C37/D37, 0)</f>
        <v>4165.0874745713454</v>
      </c>
      <c r="F37">
        <f ca="1">IF(E37&lt;Console!D$21, Console!D$20, MAX((Console!D$22-E37)/1000*Console!D$23, 0))</f>
        <v>12000</v>
      </c>
      <c r="G37">
        <f ca="1">IF(E37&gt;Console!D$31, MIN((E37-Console!D$31)*Console!D$33/1000, Console!D$32), 0)+IF(E37&gt;Console!D$36, MIN((E37-Console!D$36)*Console!D$38/1000, Console!D$37), 0)</f>
        <v>0</v>
      </c>
      <c r="H37" s="5">
        <f t="shared" ref="H37:H47" ca="1" si="35">G37*D37</f>
        <v>0</v>
      </c>
      <c r="I37" s="17">
        <f ca="1">IF(E37&gt;Console!D$26, IF(E37&lt;Console!D$27, (E37-Console!D$26)*Console!D$28/1000, (Console!D$27-Console!D$26)*Console!D$28/1000), 0)</f>
        <v>0</v>
      </c>
      <c r="J37" s="5">
        <f t="shared" ref="J37:J47" ca="1" si="36">MAX(IF(AND(($E37-$F37)&gt;INDEX($B$37:$B$47, MATCH(J$8,$A$37:$A$47, 0)+1, 0), INDEX($B$37:$B$47, MATCH(J$8,$A$37:$A$47, 0)+1, 0) - INDEX($B$37:$B$47, MATCH(J$8,$A$37:$A$47, 0), 0) &gt;= 0), INDEX($B$37:$B$47, MATCH(J$8,$A$37:$A$47, 0) +1, 0)-INDEX($B$37:$B$47, MATCH(J$8,$A$37:$A$47, 0), 0)-$I37, MAX($E37-$F37, 0) - INDEX($B$37:$B$47, MATCH(J$8,$A$37:$A$47, 0), 0)), 0)</f>
        <v>0</v>
      </c>
      <c r="K37" s="5">
        <f t="shared" ref="K37:K47" ca="1" si="37">MAX(IF(AND(($E37-$F37)&gt;INDEX($B$37:$B$47, MATCH(K$8,$A$37:$A$47, 0)+1, 0), INDEX($B$37:$B$47, MATCH(K$8,$A$37:$A$47, 0)+1, 0) - INDEX($B$37:$B$47, MATCH(K$8,$A$37:$A$47, 0), 0) &gt;= 0), INDEX($B$37:$B$47, MATCH(K$8,$A$37:$A$47, 0) +1, 0)-INDEX($B$37:$B$47, MATCH(K$8,$A$37:$A$47, 0), 0)+$I37, MAX($E37-$F37, 0) - INDEX($B$37:$B$47, MATCH(K$8,$A$37:$A$47, 0), 0)), 0)</f>
        <v>0</v>
      </c>
      <c r="L37" s="5">
        <f t="shared" ref="L37:T47" ca="1" si="38">MAX(IF(AND(($E37-$F37)&gt;INDEX($B$37:$B$47, MATCH(L$8,$A$37:$A$47, 0)+1, 0), INDEX($B$37:$B$47, MATCH(L$8,$A$37:$A$47, 0)+1, 0) - INDEX($B$37:$B$47, MATCH(L$8,$A$37:$A$47, 0), 0) &gt;= 0), INDEX($B$37:$B$47, MATCH(L$8,$A$37:$A$47, 0) +1, 0)-INDEX($B$37:$B$47, MATCH(L$8,$A$37:$A$47, 0), 0), MAX($E37-$F37, 0) - INDEX($B$37:$B$47, MATCH(L$8,$A$37:$A$47, 0), 0)), 0)</f>
        <v>0</v>
      </c>
      <c r="M37" s="5">
        <f t="shared" ca="1" si="38"/>
        <v>0</v>
      </c>
      <c r="N37" s="5">
        <f t="shared" ca="1" si="38"/>
        <v>0</v>
      </c>
      <c r="O37" s="5">
        <f t="shared" ca="1" si="38"/>
        <v>0</v>
      </c>
      <c r="P37" s="5">
        <f t="shared" ca="1" si="38"/>
        <v>0</v>
      </c>
      <c r="Q37" s="5">
        <f t="shared" ca="1" si="38"/>
        <v>0</v>
      </c>
      <c r="R37" s="5">
        <f t="shared" ca="1" si="38"/>
        <v>0</v>
      </c>
      <c r="S37" s="5">
        <f t="shared" ca="1" si="38"/>
        <v>0</v>
      </c>
      <c r="T37" s="17">
        <f t="shared" ca="1" si="38"/>
        <v>0</v>
      </c>
      <c r="U37" s="16">
        <f t="shared" ref="U37:U47" ca="1" si="39">IFERROR(1 - SUM(V37:AE37), 0)</f>
        <v>1</v>
      </c>
      <c r="V37" s="16">
        <f t="shared" ref="V37:V47" ca="1" si="40">IFERROR(K37/SUM($J37:$T37), 0)</f>
        <v>0</v>
      </c>
      <c r="W37" s="16">
        <f t="shared" ref="W37:W47" ca="1" si="41">IFERROR(L37/SUM($J37:$T37), 0)</f>
        <v>0</v>
      </c>
      <c r="X37" s="16">
        <f t="shared" ref="X37:X47" ca="1" si="42">IFERROR(M37/SUM($J37:$T37), 0)</f>
        <v>0</v>
      </c>
      <c r="Y37" s="16">
        <f t="shared" ref="Y37:Y47" ca="1" si="43">IFERROR(N37/SUM($J37:$T37), 0)</f>
        <v>0</v>
      </c>
      <c r="Z37" s="16">
        <f t="shared" ref="Z37:Z47" ca="1" si="44">IFERROR(O37/SUM($J37:$T37), 0)</f>
        <v>0</v>
      </c>
      <c r="AA37" s="16">
        <f t="shared" ref="AA37:AA47" ca="1" si="45">IFERROR(P37/SUM($J37:$T37), 0)</f>
        <v>0</v>
      </c>
      <c r="AB37" s="16">
        <f t="shared" ref="AB37:AB47" ca="1" si="46">IFERROR(Q37/SUM($J37:$T37), 0)</f>
        <v>0</v>
      </c>
      <c r="AC37" s="16">
        <f t="shared" ref="AC37:AC47" ca="1" si="47">IFERROR(R37/SUM($J37:$T37), 0)</f>
        <v>0</v>
      </c>
      <c r="AD37" s="16">
        <f t="shared" ref="AD37:AD47" ca="1" si="48">IFERROR(S37/SUM($J37:$T37), 0)</f>
        <v>0</v>
      </c>
      <c r="AE37" s="16">
        <f t="shared" ref="AE37:AE47" ca="1" si="49">IFERROR(T37/SUM($J37:$T37), 0)</f>
        <v>0</v>
      </c>
      <c r="AF37" s="23">
        <f ca="1">SUMIFS(INDIRECT("'"&amp;A$35&amp;" - 1040'!$N:$N"), INDIRECT("'"&amp;A$35&amp;" - 1040'!$A:$A"), "&gt;"&amp;INDEX(Console!$A$6:$E$14, MATCH($A9, Console!$A$6:$A$263, 0), MATCH(A$35, Console!$A$6:$E$6, 0)), INDIRECT("'"&amp;A$35&amp;" - 1040'!$A:$A"), IFERROR("&lt;="&amp;IF(INDEX(Console!$A$6:$E$14, MATCH($A9, Console!$A$6:$A$263, 0)+1, MATCH(A$35, Console!$A$6:$E$6, 0))=0, NA(), INDEX(Console!$A$6:$E$14, MATCH($A9, Console!$A$6:$A$263, 0)+1, MATCH(A$35, Console!$A$6:$E$6, 0))),"&gt;0"))</f>
        <v>2816</v>
      </c>
      <c r="AG37" s="16"/>
    </row>
    <row r="38" spans="1:33" x14ac:dyDescent="0.25">
      <c r="A38" s="20">
        <f>Console!A8</f>
        <v>0.05</v>
      </c>
      <c r="B38" s="8">
        <f>Console!D8</f>
        <v>10000</v>
      </c>
      <c r="C38" s="5">
        <f ca="1">SUMIFS(INDIRECT("'"&amp;A$35&amp;" - 1040'!$G:$G"), INDIRECT("'"&amp;A$35&amp;" - 1040'!$A:$A"), "&gt;"&amp;INDEX(Console!$A$6:$E$14, MATCH($A38, Console!$A$6:$A$263, 0), MATCH(A$35, Console!$A$6:$E$6, 0)), INDIRECT("'"&amp;A$35&amp;" - 1040'!$A:$A"), IFERROR("&lt;="&amp;IF(INDEX(Console!$A$6:$E$14, MATCH($A38, Console!$A$6:$A$263, 0)+1, MATCH(A$35, Console!$A$6:$E$6, 0))=0, NA(), INDEX(Console!$A$6:$E$14, MATCH($A38, Console!$A$6:$A$263, 0)+1, MATCH(A$35, Console!$A$6:$E$6, 0))),"&gt;0"))</f>
        <v>513817486</v>
      </c>
      <c r="D38" s="5">
        <f ca="1">SUMIFS(INDIRECT("'"&amp;A$35&amp;" - 1040'!$C:$C"), INDIRECT("'"&amp;A$35&amp;" - 1040'!$A:$A"), "&gt;"&amp;INDEX(Console!$A$6:$E$14, MATCH($A10, Console!$A$6:$A$263, 0), MATCH(A$35, Console!$A$6:$E$6, 0)), INDIRECT("'"&amp;A$35&amp;" - 1040'!$A:$A"), IFERROR("&lt;="&amp;IF(INDEX(Console!$A$6:$E$14, MATCH($A10, Console!$A$6:$A$263, 0)+1, MATCH(A$35, Console!$A$6:$E$6, 0))=0, NA(), INDEX(Console!$A$6:$E$14, MATCH($A10, Console!$A$6:$A$263, 0)+1, MATCH(A$35, Console!$A$6:$E$6, 0))),"&gt;0"))</f>
        <v>16726</v>
      </c>
      <c r="E38" s="5">
        <f t="shared" ca="1" si="34"/>
        <v>30719.6870740165</v>
      </c>
      <c r="F38">
        <f ca="1">IF(E38&lt;Console!D$21, Console!D$20, MAX((Console!D$22-E38)/1000*Console!D$23, 0))</f>
        <v>5280.3129259835005</v>
      </c>
      <c r="G38">
        <f ca="1">IF(E38&gt;Console!D$31, MIN((E38-Console!D$31)*Console!D$33/1000, Console!D$32), 0)+IF(E38&gt;Console!D$36, MIN((E38-Console!D$36)*Console!D$38/1000, Console!D$37), 0)</f>
        <v>0</v>
      </c>
      <c r="H38" s="5">
        <f t="shared" ca="1" si="35"/>
        <v>0</v>
      </c>
      <c r="I38" s="18">
        <f ca="1">IF(E38&gt;Console!D$26, IF(E38&lt;Console!D$27, (E38-Console!D$26)*Console!D$28/1000, (Console!D$27-Console!D$26)*Console!D$28/1000), 0)</f>
        <v>0</v>
      </c>
      <c r="J38" s="5">
        <f t="shared" ca="1" si="36"/>
        <v>10000</v>
      </c>
      <c r="K38" s="5">
        <f t="shared" ca="1" si="37"/>
        <v>15439.374148032999</v>
      </c>
      <c r="L38" s="5">
        <f t="shared" ca="1" si="38"/>
        <v>0</v>
      </c>
      <c r="M38" s="5">
        <f t="shared" ca="1" si="38"/>
        <v>0</v>
      </c>
      <c r="N38" s="5">
        <f t="shared" ca="1" si="38"/>
        <v>0</v>
      </c>
      <c r="O38" s="5">
        <f t="shared" ca="1" si="38"/>
        <v>0</v>
      </c>
      <c r="P38" s="5">
        <f t="shared" ca="1" si="38"/>
        <v>0</v>
      </c>
      <c r="Q38" s="5">
        <f t="shared" ca="1" si="38"/>
        <v>0</v>
      </c>
      <c r="R38" s="5">
        <f t="shared" ca="1" si="38"/>
        <v>0</v>
      </c>
      <c r="S38" s="5">
        <f t="shared" ca="1" si="38"/>
        <v>0</v>
      </c>
      <c r="T38" s="18">
        <f t="shared" ca="1" si="38"/>
        <v>0</v>
      </c>
      <c r="U38" s="16">
        <f t="shared" ca="1" si="39"/>
        <v>0.39309143148764181</v>
      </c>
      <c r="V38" s="16">
        <f t="shared" ca="1" si="40"/>
        <v>0.60690856851235819</v>
      </c>
      <c r="W38" s="16">
        <f t="shared" ca="1" si="41"/>
        <v>0</v>
      </c>
      <c r="X38" s="16">
        <f t="shared" ca="1" si="42"/>
        <v>0</v>
      </c>
      <c r="Y38" s="16">
        <f t="shared" ca="1" si="43"/>
        <v>0</v>
      </c>
      <c r="Z38" s="16">
        <f t="shared" ca="1" si="44"/>
        <v>0</v>
      </c>
      <c r="AA38" s="16">
        <f t="shared" ca="1" si="45"/>
        <v>0</v>
      </c>
      <c r="AB38" s="16">
        <f t="shared" ca="1" si="46"/>
        <v>0</v>
      </c>
      <c r="AC38" s="16">
        <f t="shared" ca="1" si="47"/>
        <v>0</v>
      </c>
      <c r="AD38" s="16">
        <f t="shared" ca="1" si="48"/>
        <v>0</v>
      </c>
      <c r="AE38" s="16">
        <f t="shared" ca="1" si="49"/>
        <v>0</v>
      </c>
      <c r="AF38" s="23">
        <f ca="1">SUMIFS(INDIRECT("'"&amp;A$35&amp;" - 1040'!$N:$N"), INDIRECT("'"&amp;A$35&amp;" - 1040'!$A:$A"), "&gt;"&amp;INDEX(Console!$A$6:$E$14, MATCH($A10, Console!$A$6:$A$263, 0), MATCH(A$35, Console!$A$6:$E$6, 0)), INDIRECT("'"&amp;A$35&amp;" - 1040'!$A:$A"), IFERROR("&lt;="&amp;IF(INDEX(Console!$A$6:$E$14, MATCH($A10, Console!$A$6:$A$263, 0)+1, MATCH(A$35, Console!$A$6:$E$6, 0))=0, NA(), INDEX(Console!$A$6:$E$14, MATCH($A10, Console!$A$6:$A$263, 0)+1, MATCH(A$35, Console!$A$6:$E$6, 0))),"&gt;0"))</f>
        <v>15004377</v>
      </c>
      <c r="AG38" s="16"/>
    </row>
    <row r="39" spans="1:33" x14ac:dyDescent="0.25">
      <c r="A39" s="20">
        <f>Console!A9</f>
        <v>5.5E-2</v>
      </c>
      <c r="B39" s="8">
        <f>Console!D9</f>
        <v>50000</v>
      </c>
      <c r="C39" s="5">
        <f ca="1">SUMIFS(INDIRECT("'"&amp;A$35&amp;" - 1040'!$G:$G"), INDIRECT("'"&amp;A$35&amp;" - 1040'!$A:$A"), "&gt;"&amp;INDEX(Console!$A$6:$E$14, MATCH($A39, Console!$A$6:$A$263, 0), MATCH(A$35, Console!$A$6:$E$6, 0)), INDIRECT("'"&amp;A$35&amp;" - 1040'!$A:$A"), IFERROR("&lt;="&amp;IF(INDEX(Console!$A$6:$E$14, MATCH($A39, Console!$A$6:$A$263, 0)+1, MATCH(A$35, Console!$A$6:$E$6, 0))=0, NA(), INDEX(Console!$A$6:$E$14, MATCH($A39, Console!$A$6:$A$263, 0)+1, MATCH(A$35, Console!$A$6:$E$6, 0))),"&gt;0"))</f>
        <v>982700656</v>
      </c>
      <c r="D39" s="5">
        <f ca="1">SUMIFS(INDIRECT("'"&amp;A$35&amp;" - 1040'!$C:$C"), INDIRECT("'"&amp;A$35&amp;" - 1040'!$A:$A"), "&gt;"&amp;INDEX(Console!$A$6:$E$14, MATCH($A11, Console!$A$6:$A$263, 0), MATCH(A$35, Console!$A$6:$E$6, 0)), INDIRECT("'"&amp;A$35&amp;" - 1040'!$A:$A"), IFERROR("&lt;="&amp;IF(INDEX(Console!$A$6:$E$14, MATCH($A11, Console!$A$6:$A$263, 0)+1, MATCH(A$35, Console!$A$6:$E$6, 0))=0, NA(), INDEX(Console!$A$6:$E$14, MATCH($A11, Console!$A$6:$A$263, 0)+1, MATCH(A$35, Console!$A$6:$E$6, 0))),"&gt;0"))</f>
        <v>13887</v>
      </c>
      <c r="E39" s="5">
        <f t="shared" ca="1" si="34"/>
        <v>70764.071145675814</v>
      </c>
      <c r="F39">
        <f ca="1">IF(E39&lt;Console!D$21, Console!D$20, MAX((Console!D$22-E39)/1000*Console!D$23, 0))</f>
        <v>0</v>
      </c>
      <c r="G39">
        <f ca="1">IF(E39&gt;Console!D$31, MIN((E39-Console!D$31)*Console!D$33/1000, Console!D$32), 0)+IF(E39&gt;Console!D$36, MIN((E39-Console!D$36)*Console!D$38/1000, Console!D$37), 0)</f>
        <v>0</v>
      </c>
      <c r="H39" s="5">
        <f t="shared" ca="1" si="35"/>
        <v>0</v>
      </c>
      <c r="I39" s="18">
        <f ca="1">IF(E39&gt;Console!D$26, IF(E39&lt;Console!D$27, (E39-Console!D$26)*Console!D$28/1000, (Console!D$27-Console!D$26)*Console!D$28/1000), 0)</f>
        <v>8205.6284582703265</v>
      </c>
      <c r="J39" s="5">
        <f t="shared" ca="1" si="36"/>
        <v>1794.3715417296735</v>
      </c>
      <c r="K39" s="5">
        <f t="shared" ca="1" si="37"/>
        <v>48205.628458270323</v>
      </c>
      <c r="L39" s="5">
        <f t="shared" ca="1" si="38"/>
        <v>20764.071145675814</v>
      </c>
      <c r="M39" s="5">
        <f t="shared" ca="1" si="38"/>
        <v>0</v>
      </c>
      <c r="N39" s="5">
        <f t="shared" ca="1" si="38"/>
        <v>0</v>
      </c>
      <c r="O39" s="5">
        <f t="shared" ca="1" si="38"/>
        <v>0</v>
      </c>
      <c r="P39" s="5">
        <f t="shared" ca="1" si="38"/>
        <v>0</v>
      </c>
      <c r="Q39" s="5">
        <f t="shared" ca="1" si="38"/>
        <v>0</v>
      </c>
      <c r="R39" s="5">
        <f t="shared" ca="1" si="38"/>
        <v>0</v>
      </c>
      <c r="S39" s="5">
        <f t="shared" ca="1" si="38"/>
        <v>0</v>
      </c>
      <c r="T39" s="18">
        <f t="shared" ca="1" si="38"/>
        <v>0</v>
      </c>
      <c r="U39" s="16">
        <f t="shared" ca="1" si="39"/>
        <v>2.5357098774542841E-2</v>
      </c>
      <c r="V39" s="16">
        <f t="shared" ca="1" si="40"/>
        <v>0.68121615500376742</v>
      </c>
      <c r="W39" s="16">
        <f t="shared" ca="1" si="41"/>
        <v>0.29342674622168974</v>
      </c>
      <c r="X39" s="16">
        <f t="shared" ca="1" si="42"/>
        <v>0</v>
      </c>
      <c r="Y39" s="16">
        <f t="shared" ca="1" si="43"/>
        <v>0</v>
      </c>
      <c r="Z39" s="16">
        <f t="shared" ca="1" si="44"/>
        <v>0</v>
      </c>
      <c r="AA39" s="16">
        <f t="shared" ca="1" si="45"/>
        <v>0</v>
      </c>
      <c r="AB39" s="16">
        <f t="shared" ca="1" si="46"/>
        <v>0</v>
      </c>
      <c r="AC39" s="16">
        <f t="shared" ca="1" si="47"/>
        <v>0</v>
      </c>
      <c r="AD39" s="16">
        <f t="shared" ca="1" si="48"/>
        <v>0</v>
      </c>
      <c r="AE39" s="16">
        <f t="shared" ca="1" si="49"/>
        <v>0</v>
      </c>
      <c r="AF39" s="23">
        <f ca="1">SUMIFS(INDIRECT("'"&amp;A$35&amp;" - 1040'!$N:$N"), INDIRECT("'"&amp;A$35&amp;" - 1040'!$A:$A"), "&gt;"&amp;INDEX(Console!$A$6:$E$14, MATCH($A11, Console!$A$6:$A$263, 0), MATCH(A$35, Console!$A$6:$E$6, 0)), INDIRECT("'"&amp;A$35&amp;" - 1040'!$A:$A"), IFERROR("&lt;="&amp;IF(INDEX(Console!$A$6:$E$14, MATCH($A11, Console!$A$6:$A$263, 0)+1, MATCH(A$35, Console!$A$6:$E$6, 0))=0, NA(), INDEX(Console!$A$6:$E$14, MATCH($A11, Console!$A$6:$A$263, 0)+1, MATCH(A$35, Console!$A$6:$E$6, 0))),"&gt;0"))</f>
        <v>46102803</v>
      </c>
      <c r="AG39" s="16"/>
    </row>
    <row r="40" spans="1:33" x14ac:dyDescent="0.25">
      <c r="A40" s="20">
        <f>Console!A10</f>
        <v>0.06</v>
      </c>
      <c r="B40" s="8">
        <f>Console!D10</f>
        <v>100000</v>
      </c>
      <c r="C40" s="5">
        <f ca="1">SUMIFS(INDIRECT("'"&amp;A$35&amp;" - 1040'!$G:$G"), INDIRECT("'"&amp;A$35&amp;" - 1040'!$A:$A"), "&gt;"&amp;INDEX(Console!$A$6:$E$14, MATCH($A40, Console!$A$6:$A$263, 0), MATCH(A$35, Console!$A$6:$E$6, 0)), INDIRECT("'"&amp;A$35&amp;" - 1040'!$A:$A"), IFERROR("&lt;="&amp;IF(INDEX(Console!$A$6:$E$14, MATCH($A40, Console!$A$6:$A$263, 0)+1, MATCH(A$35, Console!$A$6:$E$6, 0))=0, NA(), INDEX(Console!$A$6:$E$14, MATCH($A40, Console!$A$6:$A$263, 0)+1, MATCH(A$35, Console!$A$6:$E$6, 0))),"&gt;0"))</f>
        <v>757690343</v>
      </c>
      <c r="D40" s="5">
        <f ca="1">SUMIFS(INDIRECT("'"&amp;A$35&amp;" - 1040'!$C:$C"), INDIRECT("'"&amp;A$35&amp;" - 1040'!$A:$A"), "&gt;"&amp;INDEX(Console!$A$6:$E$14, MATCH($A12, Console!$A$6:$A$263, 0), MATCH(A$35, Console!$A$6:$E$6, 0)), INDIRECT("'"&amp;A$35&amp;" - 1040'!$A:$A"), IFERROR("&lt;="&amp;IF(INDEX(Console!$A$6:$E$14, MATCH($A12, Console!$A$6:$A$263, 0)+1, MATCH(A$35, Console!$A$6:$E$6, 0))=0, NA(), INDEX(Console!$A$6:$E$14, MATCH($A12, Console!$A$6:$A$263, 0)+1, MATCH(A$35, Console!$A$6:$E$6, 0))),"&gt;0"))</f>
        <v>5730</v>
      </c>
      <c r="E40" s="5">
        <f t="shared" ca="1" si="34"/>
        <v>132232.17155322863</v>
      </c>
      <c r="F40">
        <f ca="1">IF(E40&lt;Console!D$21, Console!D$20, MAX((Console!D$22-E40)/1000*Console!D$23, 0))</f>
        <v>0</v>
      </c>
      <c r="G40">
        <f ca="1">IF(E40&gt;Console!D$31, MIN((E40-Console!D$31)*Console!D$33/1000, Console!D$32), 0)+IF(E40&gt;Console!D$36, MIN((E40-Console!D$36)*Console!D$38/1000, Console!D$37), 0)</f>
        <v>0</v>
      </c>
      <c r="H40" s="5">
        <f t="shared" ca="1" si="35"/>
        <v>0</v>
      </c>
      <c r="I40" s="18">
        <f ca="1">IF(E40&gt;Console!D$26, IF(E40&lt;Console!D$27, (E40-Console!D$26)*Console!D$28/1000, (Console!D$27-Console!D$26)*Console!D$28/1000), 0)</f>
        <v>10000</v>
      </c>
      <c r="J40" s="5">
        <f t="shared" ca="1" si="36"/>
        <v>0</v>
      </c>
      <c r="K40" s="5">
        <f t="shared" ca="1" si="37"/>
        <v>50000</v>
      </c>
      <c r="L40" s="5">
        <f t="shared" ca="1" si="38"/>
        <v>50000</v>
      </c>
      <c r="M40" s="5">
        <f t="shared" ca="1" si="38"/>
        <v>32232.171553228633</v>
      </c>
      <c r="N40" s="5">
        <f t="shared" ca="1" si="38"/>
        <v>0</v>
      </c>
      <c r="O40" s="5">
        <f t="shared" ca="1" si="38"/>
        <v>0</v>
      </c>
      <c r="P40" s="5">
        <f t="shared" ca="1" si="38"/>
        <v>0</v>
      </c>
      <c r="Q40" s="5">
        <f t="shared" ca="1" si="38"/>
        <v>0</v>
      </c>
      <c r="R40" s="5">
        <f t="shared" ca="1" si="38"/>
        <v>0</v>
      </c>
      <c r="S40" s="5">
        <f t="shared" ca="1" si="38"/>
        <v>0</v>
      </c>
      <c r="T40" s="18">
        <f t="shared" ca="1" si="38"/>
        <v>0</v>
      </c>
      <c r="U40" s="16">
        <f t="shared" ca="1" si="39"/>
        <v>0</v>
      </c>
      <c r="V40" s="16">
        <f t="shared" ca="1" si="40"/>
        <v>0.37812280788168889</v>
      </c>
      <c r="W40" s="16">
        <f t="shared" ca="1" si="41"/>
        <v>0.37812280788168889</v>
      </c>
      <c r="X40" s="16">
        <f t="shared" ca="1" si="42"/>
        <v>0.24375438423662218</v>
      </c>
      <c r="Y40" s="16">
        <f t="shared" ca="1" si="43"/>
        <v>0</v>
      </c>
      <c r="Z40" s="16">
        <f t="shared" ca="1" si="44"/>
        <v>0</v>
      </c>
      <c r="AA40" s="16">
        <f t="shared" ca="1" si="45"/>
        <v>0</v>
      </c>
      <c r="AB40" s="16">
        <f t="shared" ca="1" si="46"/>
        <v>0</v>
      </c>
      <c r="AC40" s="16">
        <f t="shared" ca="1" si="47"/>
        <v>0</v>
      </c>
      <c r="AD40" s="16">
        <f t="shared" ca="1" si="48"/>
        <v>0</v>
      </c>
      <c r="AE40" s="16">
        <f t="shared" ca="1" si="49"/>
        <v>0</v>
      </c>
      <c r="AF40" s="23">
        <f ca="1">SUMIFS(INDIRECT("'"&amp;A$35&amp;" - 1040'!$N:$N"), INDIRECT("'"&amp;A$35&amp;" - 1040'!$A:$A"), "&gt;"&amp;INDEX(Console!$A$6:$E$14, MATCH($A12, Console!$A$6:$A$263, 0), MATCH(A$35, Console!$A$6:$E$6, 0)), INDIRECT("'"&amp;A$35&amp;" - 1040'!$A:$A"), IFERROR("&lt;="&amp;IF(INDEX(Console!$A$6:$E$14, MATCH($A12, Console!$A$6:$A$263, 0)+1, MATCH(A$35, Console!$A$6:$E$6, 0))=0, NA(), INDEX(Console!$A$6:$E$14, MATCH($A12, Console!$A$6:$A$263, 0)+1, MATCH(A$35, Console!$A$6:$E$6, 0))),"&gt;0"))</f>
        <v>35769220</v>
      </c>
      <c r="AG40" s="16"/>
    </row>
    <row r="41" spans="1:33" x14ac:dyDescent="0.25">
      <c r="A41" s="20">
        <f>Console!A11</f>
        <v>6.5000000000000002E-2</v>
      </c>
      <c r="B41" s="8">
        <f>Console!D11</f>
        <v>200000</v>
      </c>
      <c r="C41" s="5">
        <f ca="1">SUMIFS(INDIRECT("'"&amp;A$35&amp;" - 1040'!$G:$G"), INDIRECT("'"&amp;A$35&amp;" - 1040'!$A:$A"), "&gt;"&amp;INDEX(Console!$A$6:$E$14, MATCH($A41, Console!$A$6:$A$263, 0), MATCH(A$35, Console!$A$6:$E$6, 0)), INDIRECT("'"&amp;A$35&amp;" - 1040'!$A:$A"), IFERROR("&lt;="&amp;IF(INDEX(Console!$A$6:$E$14, MATCH($A41, Console!$A$6:$A$263, 0)+1, MATCH(A$35, Console!$A$6:$E$6, 0))=0, NA(), INDEX(Console!$A$6:$E$14, MATCH($A41, Console!$A$6:$A$263, 0)+1, MATCH(A$35, Console!$A$6:$E$6, 0))),"&gt;0"))</f>
        <v>102489448</v>
      </c>
      <c r="D41" s="5">
        <f ca="1">SUMIFS(INDIRECT("'"&amp;A$35&amp;" - 1040'!$C:$C"), INDIRECT("'"&amp;A$35&amp;" - 1040'!$A:$A"), "&gt;"&amp;INDEX(Console!$A$6:$E$14, MATCH($A13, Console!$A$6:$A$263, 0), MATCH(A$35, Console!$A$6:$E$6, 0)), INDIRECT("'"&amp;A$35&amp;" - 1040'!$A:$A"), IFERROR("&lt;="&amp;IF(INDEX(Console!$A$6:$E$14, MATCH($A13, Console!$A$6:$A$263, 0)+1, MATCH(A$35, Console!$A$6:$E$6, 0))=0, NA(), INDEX(Console!$A$6:$E$14, MATCH($A13, Console!$A$6:$A$263, 0)+1, MATCH(A$35, Console!$A$6:$E$6, 0))),"&gt;0"))</f>
        <v>462</v>
      </c>
      <c r="E41" s="5">
        <f t="shared" ca="1" si="34"/>
        <v>221838.63203463203</v>
      </c>
      <c r="F41">
        <f ca="1">IF(E41&lt;Console!D$21, Console!D$20, MAX((Console!D$22-E41)/1000*Console!D$23, 0))</f>
        <v>0</v>
      </c>
      <c r="G41">
        <f ca="1">IF(E41&gt;Console!D$31, MIN((E41-Console!D$31)*Console!D$33/1000, Console!D$32), 0)+IF(E41&gt;Console!D$36, MIN((E41-Console!D$36)*Console!D$38/1000, Console!D$37), 0)</f>
        <v>393.09537662337652</v>
      </c>
      <c r="H41" s="5">
        <f t="shared" ca="1" si="35"/>
        <v>181610.06399999995</v>
      </c>
      <c r="I41" s="18">
        <f ca="1">IF(E41&gt;Console!D$26, IF(E41&lt;Console!D$27, (E41-Console!D$26)*Console!D$28/1000, (Console!D$27-Console!D$26)*Console!D$28/1000), 0)</f>
        <v>10000</v>
      </c>
      <c r="J41" s="5">
        <f t="shared" ca="1" si="36"/>
        <v>0</v>
      </c>
      <c r="K41" s="5">
        <f t="shared" ca="1" si="37"/>
        <v>50000</v>
      </c>
      <c r="L41" s="5">
        <f t="shared" ca="1" si="38"/>
        <v>50000</v>
      </c>
      <c r="M41" s="5">
        <f t="shared" ca="1" si="38"/>
        <v>100000</v>
      </c>
      <c r="N41" s="5">
        <f t="shared" ca="1" si="38"/>
        <v>21838.632034632028</v>
      </c>
      <c r="O41" s="5">
        <f t="shared" ca="1" si="38"/>
        <v>0</v>
      </c>
      <c r="P41" s="5">
        <f t="shared" ca="1" si="38"/>
        <v>0</v>
      </c>
      <c r="Q41" s="5">
        <f t="shared" ca="1" si="38"/>
        <v>0</v>
      </c>
      <c r="R41" s="5">
        <f t="shared" ca="1" si="38"/>
        <v>0</v>
      </c>
      <c r="S41" s="5">
        <f t="shared" ca="1" si="38"/>
        <v>0</v>
      </c>
      <c r="T41" s="18">
        <f t="shared" ca="1" si="38"/>
        <v>0</v>
      </c>
      <c r="U41" s="16">
        <f t="shared" ca="1" si="39"/>
        <v>0</v>
      </c>
      <c r="V41" s="16">
        <f t="shared" ca="1" si="40"/>
        <v>0.22538905663732328</v>
      </c>
      <c r="W41" s="16">
        <f t="shared" ca="1" si="41"/>
        <v>0.22538905663732328</v>
      </c>
      <c r="X41" s="16">
        <f t="shared" ca="1" si="42"/>
        <v>0.45077811327464656</v>
      </c>
      <c r="Y41" s="16">
        <f t="shared" ca="1" si="43"/>
        <v>9.8443773450706817E-2</v>
      </c>
      <c r="Z41" s="16">
        <f t="shared" ca="1" si="44"/>
        <v>0</v>
      </c>
      <c r="AA41" s="16">
        <f t="shared" ca="1" si="45"/>
        <v>0</v>
      </c>
      <c r="AB41" s="16">
        <f t="shared" ca="1" si="46"/>
        <v>0</v>
      </c>
      <c r="AC41" s="16">
        <f t="shared" ca="1" si="47"/>
        <v>0</v>
      </c>
      <c r="AD41" s="16">
        <f t="shared" ca="1" si="48"/>
        <v>0</v>
      </c>
      <c r="AE41" s="16">
        <f t="shared" ca="1" si="49"/>
        <v>0</v>
      </c>
      <c r="AF41" s="23">
        <f ca="1">SUMIFS(INDIRECT("'"&amp;A$35&amp;" - 1040'!$N:$N"), INDIRECT("'"&amp;A$35&amp;" - 1040'!$A:$A"), "&gt;"&amp;INDEX(Console!$A$6:$E$14, MATCH($A13, Console!$A$6:$A$263, 0), MATCH(A$35, Console!$A$6:$E$6, 0)), INDIRECT("'"&amp;A$35&amp;" - 1040'!$A:$A"), IFERROR("&lt;="&amp;IF(INDEX(Console!$A$6:$E$14, MATCH($A13, Console!$A$6:$A$263, 0)+1, MATCH(A$35, Console!$A$6:$E$6, 0))=0, NA(), INDEX(Console!$A$6:$E$14, MATCH($A13, Console!$A$6:$A$263, 0)+1, MATCH(A$35, Console!$A$6:$E$6, 0))),"&gt;0"))</f>
        <v>5084447</v>
      </c>
      <c r="AG41" s="16"/>
    </row>
    <row r="42" spans="1:33" x14ac:dyDescent="0.25">
      <c r="A42" s="20">
        <f>Console!A12</f>
        <v>6.9000000000000006E-2</v>
      </c>
      <c r="B42" s="8">
        <f>Console!D12</f>
        <v>250000</v>
      </c>
      <c r="C42" s="5">
        <f ca="1">SUMIFS(INDIRECT("'"&amp;A$35&amp;" - 1040'!$G:$G"), INDIRECT("'"&amp;A$35&amp;" - 1040'!$A:$A"), "&gt;"&amp;INDEX(Console!$A$6:$E$14, MATCH($A42, Console!$A$6:$A$263, 0), MATCH(A$35, Console!$A$6:$E$6, 0)), INDIRECT("'"&amp;A$35&amp;" - 1040'!$A:$A"), IFERROR("&lt;="&amp;IF(INDEX(Console!$A$6:$E$14, MATCH($A42, Console!$A$6:$A$263, 0)+1, MATCH(A$35, Console!$A$6:$E$6, 0))=0, NA(), INDEX(Console!$A$6:$E$14, MATCH($A42, Console!$A$6:$A$263, 0)+1, MATCH(A$35, Console!$A$6:$E$6, 0))),"&gt;0"))</f>
        <v>228848817</v>
      </c>
      <c r="D42" s="5">
        <f ca="1">SUMIFS(INDIRECT("'"&amp;A$35&amp;" - 1040'!$C:$C"), INDIRECT("'"&amp;A$35&amp;" - 1040'!$A:$A"), "&gt;"&amp;INDEX(Console!$A$6:$E$14, MATCH($A14, Console!$A$6:$A$263, 0), MATCH(A$35, Console!$A$6:$E$6, 0)), INDIRECT("'"&amp;A$35&amp;" - 1040'!$A:$A"), IFERROR("&lt;="&amp;IF(INDEX(Console!$A$6:$E$14, MATCH($A14, Console!$A$6:$A$263, 0)+1, MATCH(A$35, Console!$A$6:$E$6, 0))=0, NA(), INDEX(Console!$A$6:$E$14, MATCH($A14, Console!$A$6:$A$263, 0)+1, MATCH(A$35, Console!$A$6:$E$6, 0))),"&gt;0"))</f>
        <v>679</v>
      </c>
      <c r="E42" s="5">
        <f t="shared" ca="1" si="34"/>
        <v>337038.02209131076</v>
      </c>
      <c r="F42">
        <f ca="1">IF(E42&lt;Console!D$21, Console!D$20, MAX((Console!D$22-E42)/1000*Console!D$23, 0))</f>
        <v>0</v>
      </c>
      <c r="G42">
        <f ca="1">IF(E42&gt;Console!D$31, MIN((E42-Console!D$31)*Console!D$33/1000, Console!D$32), 0)+IF(E42&gt;Console!D$36, MIN((E42-Console!D$36)*Console!D$38/1000, Console!D$37), 0)</f>
        <v>2466.6843976435935</v>
      </c>
      <c r="H42" s="5">
        <f t="shared" ca="1" si="35"/>
        <v>1674878.706</v>
      </c>
      <c r="I42" s="18">
        <f ca="1">IF(E42&gt;Console!D$26, IF(E42&lt;Console!D$27, (E42-Console!D$26)*Console!D$28/1000, (Console!D$27-Console!D$26)*Console!D$28/1000), 0)</f>
        <v>10000</v>
      </c>
      <c r="J42" s="5">
        <f t="shared" ca="1" si="36"/>
        <v>0</v>
      </c>
      <c r="K42" s="5">
        <f t="shared" ca="1" si="37"/>
        <v>50000</v>
      </c>
      <c r="L42" s="5">
        <f t="shared" ca="1" si="38"/>
        <v>50000</v>
      </c>
      <c r="M42" s="5">
        <f t="shared" ca="1" si="38"/>
        <v>100000</v>
      </c>
      <c r="N42" s="5">
        <f t="shared" ca="1" si="38"/>
        <v>50000</v>
      </c>
      <c r="O42" s="5">
        <f t="shared" ca="1" si="38"/>
        <v>87038.022091310762</v>
      </c>
      <c r="P42" s="5">
        <f t="shared" ca="1" si="38"/>
        <v>0</v>
      </c>
      <c r="Q42" s="5">
        <f t="shared" ca="1" si="38"/>
        <v>0</v>
      </c>
      <c r="R42" s="5">
        <f t="shared" ca="1" si="38"/>
        <v>0</v>
      </c>
      <c r="S42" s="5">
        <f t="shared" ca="1" si="38"/>
        <v>0</v>
      </c>
      <c r="T42" s="18">
        <f t="shared" ca="1" si="38"/>
        <v>0</v>
      </c>
      <c r="U42" s="16">
        <f t="shared" ca="1" si="39"/>
        <v>0</v>
      </c>
      <c r="V42" s="16">
        <f t="shared" ca="1" si="40"/>
        <v>0.14835121476725832</v>
      </c>
      <c r="W42" s="16">
        <f t="shared" ca="1" si="41"/>
        <v>0.14835121476725832</v>
      </c>
      <c r="X42" s="16">
        <f t="shared" ca="1" si="42"/>
        <v>0.29670242953451664</v>
      </c>
      <c r="Y42" s="16">
        <f t="shared" ca="1" si="43"/>
        <v>0.14835121476725832</v>
      </c>
      <c r="Z42" s="16">
        <f t="shared" ca="1" si="44"/>
        <v>0.25824392616370834</v>
      </c>
      <c r="AA42" s="16">
        <f t="shared" ca="1" si="45"/>
        <v>0</v>
      </c>
      <c r="AB42" s="16">
        <f t="shared" ca="1" si="46"/>
        <v>0</v>
      </c>
      <c r="AC42" s="16">
        <f t="shared" ca="1" si="47"/>
        <v>0</v>
      </c>
      <c r="AD42" s="16">
        <f t="shared" ca="1" si="48"/>
        <v>0</v>
      </c>
      <c r="AE42" s="16">
        <f t="shared" ca="1" si="49"/>
        <v>0</v>
      </c>
      <c r="AF42" s="23">
        <f ca="1">SUMIFS(INDIRECT("'"&amp;A$35&amp;" - 1040'!$N:$N"), INDIRECT("'"&amp;A$35&amp;" - 1040'!$A:$A"), "&gt;"&amp;INDEX(Console!$A$6:$E$14, MATCH($A14, Console!$A$6:$A$263, 0), MATCH(A$35, Console!$A$6:$E$6, 0)), INDIRECT("'"&amp;A$35&amp;" - 1040'!$A:$A"), IFERROR("&lt;="&amp;IF(INDEX(Console!$A$6:$E$14, MATCH($A14, Console!$A$6:$A$263, 0)+1, MATCH(A$35, Console!$A$6:$E$6, 0))=0, NA(), INDEX(Console!$A$6:$E$14, MATCH($A14, Console!$A$6:$A$263, 0)+1, MATCH(A$35, Console!$A$6:$E$6, 0))),"&gt;0"))</f>
        <v>12432737</v>
      </c>
      <c r="AG42" s="16"/>
    </row>
    <row r="43" spans="1:33" x14ac:dyDescent="0.25">
      <c r="A43" s="20">
        <f>Console!A13</f>
        <v>6.9900000000000004E-2</v>
      </c>
      <c r="B43" s="8">
        <f>Console!D13</f>
        <v>500000</v>
      </c>
      <c r="C43" s="5">
        <f ca="1">SUMIFS(INDIRECT("'"&amp;A$35&amp;" - 1040'!$G:$G"), INDIRECT("'"&amp;A$35&amp;" - 1040'!$A:$A"), "&gt;"&amp;INDEX(Console!$A$6:$E$14, MATCH($A43, Console!$A$6:$A$263, 0), MATCH(A$35, Console!$A$6:$E$6, 0)), INDIRECT("'"&amp;A$35&amp;" - 1040'!$A:$A"), IFERROR("&lt;="&amp;IF(INDEX(Console!$A$6:$E$14, MATCH($A43, Console!$A$6:$A$263, 0)+1, MATCH(A$35, Console!$A$6:$E$6, 0))=0, NA(), INDEX(Console!$A$6:$E$14, MATCH($A43, Console!$A$6:$A$263, 0)+1, MATCH(A$35, Console!$A$6:$E$6, 0))),"&gt;0"))</f>
        <v>2033163212</v>
      </c>
      <c r="D43" s="5">
        <f ca="1">SUMIFS(INDIRECT("'"&amp;A$35&amp;" - 1040'!$C:$C"), INDIRECT("'"&amp;A$35&amp;" - 1040'!$A:$A"), "&gt;"&amp;INDEX(Console!$A$6:$E$14, MATCH($A15, Console!$A$6:$A$263, 0), MATCH(A$35, Console!$A$6:$E$6, 0)), INDIRECT("'"&amp;A$35&amp;" - 1040'!$A:$A"), IFERROR("&lt;="&amp;IF(INDEX(Console!$A$6:$E$14, MATCH($A15, Console!$A$6:$A$263, 0)+1, MATCH(A$35, Console!$A$6:$E$6, 0))=0, NA(), INDEX(Console!$A$6:$E$14, MATCH($A15, Console!$A$6:$A$263, 0)+1, MATCH(A$35, Console!$A$6:$E$6, 0))),"&gt;0"))</f>
        <v>482</v>
      </c>
      <c r="E43" s="5">
        <f t="shared" ca="1" si="34"/>
        <v>4218180.9377593361</v>
      </c>
      <c r="F43">
        <f ca="1">IF(E43&lt;Console!D$21, Console!D$20, MAX((Console!D$22-E43)/1000*Console!D$23, 0))</f>
        <v>0</v>
      </c>
      <c r="G43">
        <f ca="1">IF(E43&gt;Console!D$31, MIN((E43-Console!D$31)*Console!D$33/1000, Console!D$32), 0)+IF(E43&gt;Console!D$36, MIN((E43-Console!D$36)*Console!D$38/1000, Console!D$37), 0)</f>
        <v>3150</v>
      </c>
      <c r="H43" s="5">
        <f t="shared" ca="1" si="35"/>
        <v>1518300</v>
      </c>
      <c r="I43" s="18">
        <f ca="1">IF(E43&gt;Console!D$26, IF(E43&lt;Console!D$27, (E43-Console!D$26)*Console!D$28/1000, (Console!D$27-Console!D$26)*Console!D$28/1000), 0)</f>
        <v>10000</v>
      </c>
      <c r="J43" s="5">
        <f t="shared" ca="1" si="36"/>
        <v>0</v>
      </c>
      <c r="K43" s="5">
        <f t="shared" ca="1" si="37"/>
        <v>50000</v>
      </c>
      <c r="L43" s="5">
        <f t="shared" ca="1" si="38"/>
        <v>50000</v>
      </c>
      <c r="M43" s="5">
        <f t="shared" ca="1" si="38"/>
        <v>100000</v>
      </c>
      <c r="N43" s="5">
        <f t="shared" ca="1" si="38"/>
        <v>50000</v>
      </c>
      <c r="O43" s="5">
        <f t="shared" ca="1" si="38"/>
        <v>250000</v>
      </c>
      <c r="P43" s="5">
        <f t="shared" ca="1" si="38"/>
        <v>3718180.9377593361</v>
      </c>
      <c r="Q43" s="5">
        <f t="shared" ca="1" si="38"/>
        <v>0</v>
      </c>
      <c r="R43" s="5">
        <f t="shared" ca="1" si="38"/>
        <v>0</v>
      </c>
      <c r="S43" s="5">
        <f t="shared" ca="1" si="38"/>
        <v>0</v>
      </c>
      <c r="T43" s="18">
        <f t="shared" ca="1" si="38"/>
        <v>0</v>
      </c>
      <c r="U43" s="16">
        <f t="shared" ca="1" si="39"/>
        <v>0</v>
      </c>
      <c r="V43" s="16">
        <f t="shared" ca="1" si="40"/>
        <v>1.185345074992435E-2</v>
      </c>
      <c r="W43" s="16">
        <f t="shared" ca="1" si="41"/>
        <v>1.185345074992435E-2</v>
      </c>
      <c r="X43" s="16">
        <f t="shared" ca="1" si="42"/>
        <v>2.37069014998487E-2</v>
      </c>
      <c r="Y43" s="16">
        <f t="shared" ca="1" si="43"/>
        <v>1.185345074992435E-2</v>
      </c>
      <c r="Z43" s="16">
        <f t="shared" ca="1" si="44"/>
        <v>5.9267253749621752E-2</v>
      </c>
      <c r="AA43" s="16">
        <f t="shared" ca="1" si="45"/>
        <v>0.88146549250075645</v>
      </c>
      <c r="AB43" s="16">
        <f t="shared" ca="1" si="46"/>
        <v>0</v>
      </c>
      <c r="AC43" s="16">
        <f t="shared" ca="1" si="47"/>
        <v>0</v>
      </c>
      <c r="AD43" s="16">
        <f t="shared" ca="1" si="48"/>
        <v>0</v>
      </c>
      <c r="AE43" s="16">
        <f t="shared" ca="1" si="49"/>
        <v>0</v>
      </c>
      <c r="AF43" s="23">
        <f ca="1">SUMIFS(INDIRECT("'"&amp;A$35&amp;" - 1040'!$N:$N"), INDIRECT("'"&amp;A$35&amp;" - 1040'!$A:$A"), "&gt;"&amp;INDEX(Console!$A$6:$E$14, MATCH($A15, Console!$A$6:$A$263, 0), MATCH(A$35, Console!$A$6:$E$6, 0)), INDIRECT("'"&amp;A$35&amp;" - 1040'!$A:$A"), IFERROR("&lt;="&amp;IF(INDEX(Console!$A$6:$E$14, MATCH($A15, Console!$A$6:$A$263, 0)+1, MATCH(A$35, Console!$A$6:$E$6, 0))=0, NA(), INDEX(Console!$A$6:$E$14, MATCH($A15, Console!$A$6:$A$263, 0)+1, MATCH(A$35, Console!$A$6:$E$6, 0))),"&gt;0"))</f>
        <v>118078853</v>
      </c>
      <c r="AG43" s="16"/>
    </row>
    <row r="44" spans="1:33" x14ac:dyDescent="0.25">
      <c r="A44" s="20">
        <f>Console!A14</f>
        <v>0</v>
      </c>
      <c r="B44" s="8">
        <f>Console!D14</f>
        <v>0</v>
      </c>
      <c r="C44" s="5">
        <f ca="1">SUMIFS(INDIRECT("'"&amp;A$35&amp;" - 1040'!$G:$G"), INDIRECT("'"&amp;A$35&amp;" - 1040'!$A:$A"), "&gt;"&amp;INDEX(Console!$A$6:$E$14, MATCH($A44, Console!$A$6:$A$263, 0), MATCH(A$35, Console!$A$6:$E$6, 0)), INDIRECT("'"&amp;A$35&amp;" - 1040'!$A:$A"), IFERROR("&lt;="&amp;IF(INDEX(Console!$A$6:$E$14, MATCH($A44, Console!$A$6:$A$263, 0)+1, MATCH(A$35, Console!$A$6:$E$6, 0))=0, NA(), INDEX(Console!$A$6:$E$14, MATCH($A44, Console!$A$6:$A$263, 0)+1, MATCH(A$35, Console!$A$6:$E$6, 0))),"&gt;0"))</f>
        <v>0</v>
      </c>
      <c r="D44" s="5">
        <f ca="1">SUMIFS(INDIRECT("'"&amp;A$35&amp;" - 1040'!$C:$C"), INDIRECT("'"&amp;A$35&amp;" - 1040'!$A:$A"), "&gt;"&amp;INDEX(Console!$A$6:$E$14, MATCH($A16, Console!$A$6:$A$263, 0), MATCH(A$35, Console!$A$6:$E$6, 0)), INDIRECT("'"&amp;A$35&amp;" - 1040'!$A:$A"), IFERROR("&lt;="&amp;IF(INDEX(Console!$A$6:$E$14, MATCH($A16, Console!$A$6:$A$263, 0)+1, MATCH(A$35, Console!$A$6:$E$6, 0))=0, NA(), INDEX(Console!$A$6:$E$14, MATCH($A16, Console!$A$6:$A$263, 0)+1, MATCH(A$35, Console!$A$6:$E$6, 0))),"&gt;0"))</f>
        <v>0</v>
      </c>
      <c r="E44" s="5">
        <f t="shared" ca="1" si="34"/>
        <v>0</v>
      </c>
      <c r="F44">
        <f ca="1">IF(E44&lt;Console!D$21, Console!D$20, MAX((Console!D$22-E44)/1000*Console!D$23, 0))</f>
        <v>12000</v>
      </c>
      <c r="G44">
        <f ca="1">IF(E44&gt;Console!D$31, MIN((E44-Console!D$31)*Console!D$33/1000, Console!D$32), 0)+IF(E44&gt;Console!D$36, MIN((E44-Console!D$36)*Console!D$38/1000, Console!D$37), 0)</f>
        <v>0</v>
      </c>
      <c r="H44" s="5">
        <f t="shared" ca="1" si="35"/>
        <v>0</v>
      </c>
      <c r="I44" s="18">
        <f ca="1">IF(E44&gt;Console!D$26, IF(E44&lt;Console!D$27, (E44-Console!D$26)*Console!D$28/1000, (Console!D$27-Console!D$26)*Console!D$28/1000), 0)</f>
        <v>0</v>
      </c>
      <c r="J44" s="5">
        <f t="shared" ca="1" si="36"/>
        <v>0</v>
      </c>
      <c r="K44" s="5">
        <f t="shared" ca="1" si="37"/>
        <v>0</v>
      </c>
      <c r="L44" s="5">
        <f t="shared" ca="1" si="38"/>
        <v>0</v>
      </c>
      <c r="M44" s="5">
        <f t="shared" ca="1" si="38"/>
        <v>0</v>
      </c>
      <c r="N44" s="5">
        <f t="shared" ca="1" si="38"/>
        <v>0</v>
      </c>
      <c r="O44" s="5">
        <f t="shared" ca="1" si="38"/>
        <v>0</v>
      </c>
      <c r="P44" s="5">
        <f t="shared" ca="1" si="38"/>
        <v>0</v>
      </c>
      <c r="Q44" s="5">
        <f t="shared" ca="1" si="38"/>
        <v>0</v>
      </c>
      <c r="R44" s="5">
        <f t="shared" ca="1" si="38"/>
        <v>0</v>
      </c>
      <c r="S44" s="5">
        <f t="shared" ca="1" si="38"/>
        <v>0</v>
      </c>
      <c r="T44" s="18">
        <f t="shared" ca="1" si="38"/>
        <v>0</v>
      </c>
      <c r="U44" s="16">
        <f t="shared" ca="1" si="39"/>
        <v>1</v>
      </c>
      <c r="V44" s="16">
        <f t="shared" ca="1" si="40"/>
        <v>0</v>
      </c>
      <c r="W44" s="16">
        <f t="shared" ca="1" si="41"/>
        <v>0</v>
      </c>
      <c r="X44" s="16">
        <f t="shared" ca="1" si="42"/>
        <v>0</v>
      </c>
      <c r="Y44" s="16">
        <f t="shared" ca="1" si="43"/>
        <v>0</v>
      </c>
      <c r="Z44" s="16">
        <f t="shared" ca="1" si="44"/>
        <v>0</v>
      </c>
      <c r="AA44" s="16">
        <f t="shared" ca="1" si="45"/>
        <v>0</v>
      </c>
      <c r="AB44" s="16">
        <f t="shared" ca="1" si="46"/>
        <v>0</v>
      </c>
      <c r="AC44" s="16">
        <f t="shared" ca="1" si="47"/>
        <v>0</v>
      </c>
      <c r="AD44" s="16">
        <f t="shared" ca="1" si="48"/>
        <v>0</v>
      </c>
      <c r="AE44" s="16">
        <f t="shared" ca="1" si="49"/>
        <v>0</v>
      </c>
      <c r="AF44" s="23">
        <f ca="1">SUMIFS(INDIRECT("'"&amp;A$35&amp;" - 1040'!$N:$N"), INDIRECT("'"&amp;A$35&amp;" - 1040'!$A:$A"), "&gt;"&amp;INDEX(Console!$A$6:$E$14, MATCH($A16, Console!$A$6:$A$263, 0), MATCH(A$35, Console!$A$6:$E$6, 0)), INDIRECT("'"&amp;A$35&amp;" - 1040'!$A:$A"), IFERROR("&lt;="&amp;IF(INDEX(Console!$A$6:$E$14, MATCH($A16, Console!$A$6:$A$263, 0)+1, MATCH(A$35, Console!$A$6:$E$6, 0))=0, NA(), INDEX(Console!$A$6:$E$14, MATCH($A16, Console!$A$6:$A$263, 0)+1, MATCH(A$35, Console!$A$6:$E$6, 0))),"&gt;0"))</f>
        <v>0</v>
      </c>
      <c r="AG44" s="16"/>
    </row>
    <row r="45" spans="1:33" x14ac:dyDescent="0.25">
      <c r="A45" s="20">
        <f>Console!A15</f>
        <v>0</v>
      </c>
      <c r="B45" s="8">
        <f>Console!D15</f>
        <v>0</v>
      </c>
      <c r="C45" s="5">
        <f ca="1">SUMIFS(INDIRECT("'"&amp;A$35&amp;" - 1040'!$G:$G"), INDIRECT("'"&amp;A$35&amp;" - 1040'!$A:$A"), "&gt;"&amp;INDEX(Console!$A$6:$E$14, MATCH($A45, Console!$A$6:$A$263, 0), MATCH(A$35, Console!$A$6:$E$6, 0)), INDIRECT("'"&amp;A$35&amp;" - 1040'!$A:$A"), IFERROR("&lt;="&amp;IF(INDEX(Console!$A$6:$E$14, MATCH($A45, Console!$A$6:$A$263, 0)+1, MATCH(A$35, Console!$A$6:$E$6, 0))=0, NA(), INDEX(Console!$A$6:$E$14, MATCH($A45, Console!$A$6:$A$263, 0)+1, MATCH(A$35, Console!$A$6:$E$6, 0))),"&gt;0"))</f>
        <v>0</v>
      </c>
      <c r="D45" s="5">
        <f ca="1">SUMIFS(INDIRECT("'"&amp;A$35&amp;" - 1040'!$C:$C"), INDIRECT("'"&amp;A$35&amp;" - 1040'!$A:$A"), "&gt;"&amp;INDEX(Console!$A$6:$E$14, MATCH($A17, Console!$A$6:$A$263, 0), MATCH(A$35, Console!$A$6:$E$6, 0)), INDIRECT("'"&amp;A$35&amp;" - 1040'!$A:$A"), IFERROR("&lt;="&amp;IF(INDEX(Console!$A$6:$E$14, MATCH($A17, Console!$A$6:$A$263, 0)+1, MATCH(A$35, Console!$A$6:$E$6, 0))=0, NA(), INDEX(Console!$A$6:$E$14, MATCH($A17, Console!$A$6:$A$263, 0)+1, MATCH(A$35, Console!$A$6:$E$6, 0))),"&gt;0"))</f>
        <v>0</v>
      </c>
      <c r="E45" s="5">
        <f t="shared" ca="1" si="34"/>
        <v>0</v>
      </c>
      <c r="F45">
        <f ca="1">IF(E45&lt;Console!D$21, Console!D$20, MAX((Console!D$22-E45)/1000*Console!D$23, 0))</f>
        <v>12000</v>
      </c>
      <c r="G45">
        <f ca="1">IF(E45&gt;Console!D$31, MIN((E45-Console!D$31)*Console!D$33/1000, Console!D$32), 0)+IF(E45&gt;Console!D$36, MIN((E45-Console!D$36)*Console!D$38/1000, Console!D$37), 0)</f>
        <v>0</v>
      </c>
      <c r="H45" s="5">
        <f t="shared" ca="1" si="35"/>
        <v>0</v>
      </c>
      <c r="I45" s="18">
        <f ca="1">IF(E45&gt;Console!D$26, IF(E45&lt;Console!D$27, (E45-Console!D$26)*Console!D$28/1000, (Console!D$27-Console!D$26)*Console!D$28/1000), 0)</f>
        <v>0</v>
      </c>
      <c r="J45" s="5">
        <f t="shared" ca="1" si="36"/>
        <v>0</v>
      </c>
      <c r="K45" s="5">
        <f t="shared" ca="1" si="37"/>
        <v>0</v>
      </c>
      <c r="L45" s="5">
        <f t="shared" ca="1" si="38"/>
        <v>0</v>
      </c>
      <c r="M45" s="5">
        <f t="shared" ca="1" si="38"/>
        <v>0</v>
      </c>
      <c r="N45" s="5">
        <f t="shared" ca="1" si="38"/>
        <v>0</v>
      </c>
      <c r="O45" s="5">
        <f t="shared" ca="1" si="38"/>
        <v>0</v>
      </c>
      <c r="P45" s="5">
        <f t="shared" ca="1" si="38"/>
        <v>0</v>
      </c>
      <c r="Q45" s="5">
        <f t="shared" ca="1" si="38"/>
        <v>0</v>
      </c>
      <c r="R45" s="5">
        <f t="shared" ca="1" si="38"/>
        <v>0</v>
      </c>
      <c r="S45" s="5">
        <f t="shared" ca="1" si="38"/>
        <v>0</v>
      </c>
      <c r="T45" s="18">
        <f t="shared" ca="1" si="38"/>
        <v>0</v>
      </c>
      <c r="U45" s="16">
        <f t="shared" ca="1" si="39"/>
        <v>1</v>
      </c>
      <c r="V45" s="16">
        <f t="shared" ca="1" si="40"/>
        <v>0</v>
      </c>
      <c r="W45" s="16">
        <f t="shared" ca="1" si="41"/>
        <v>0</v>
      </c>
      <c r="X45" s="16">
        <f t="shared" ca="1" si="42"/>
        <v>0</v>
      </c>
      <c r="Y45" s="16">
        <f t="shared" ca="1" si="43"/>
        <v>0</v>
      </c>
      <c r="Z45" s="16">
        <f t="shared" ca="1" si="44"/>
        <v>0</v>
      </c>
      <c r="AA45" s="16">
        <f t="shared" ca="1" si="45"/>
        <v>0</v>
      </c>
      <c r="AB45" s="16">
        <f t="shared" ca="1" si="46"/>
        <v>0</v>
      </c>
      <c r="AC45" s="16">
        <f t="shared" ca="1" si="47"/>
        <v>0</v>
      </c>
      <c r="AD45" s="16">
        <f t="shared" ca="1" si="48"/>
        <v>0</v>
      </c>
      <c r="AE45" s="16">
        <f t="shared" ca="1" si="49"/>
        <v>0</v>
      </c>
      <c r="AF45" s="23">
        <f ca="1">SUMIFS(INDIRECT("'"&amp;A$35&amp;" - 1040'!$N:$N"), INDIRECT("'"&amp;A$35&amp;" - 1040'!$A:$A"), "&gt;"&amp;INDEX(Console!$A$6:$E$14, MATCH($A17, Console!$A$6:$A$263, 0), MATCH(A$35, Console!$A$6:$E$6, 0)), INDIRECT("'"&amp;A$35&amp;" - 1040'!$A:$A"), IFERROR("&lt;="&amp;IF(INDEX(Console!$A$6:$E$14, MATCH($A17, Console!$A$6:$A$263, 0)+1, MATCH(A$35, Console!$A$6:$E$6, 0))=0, NA(), INDEX(Console!$A$6:$E$14, MATCH($A17, Console!$A$6:$A$263, 0)+1, MATCH(A$35, Console!$A$6:$E$6, 0))),"&gt;0"))</f>
        <v>0</v>
      </c>
      <c r="AG45" s="16"/>
    </row>
    <row r="46" spans="1:33" x14ac:dyDescent="0.25">
      <c r="A46" s="20">
        <f>Console!A16</f>
        <v>0</v>
      </c>
      <c r="B46" s="8">
        <f>Console!D16</f>
        <v>0</v>
      </c>
      <c r="C46" s="5">
        <f ca="1">SUMIFS(INDIRECT("'"&amp;A$35&amp;" - 1040'!$G:$G"), INDIRECT("'"&amp;A$35&amp;" - 1040'!$A:$A"), "&gt;"&amp;INDEX(Console!$A$6:$E$14, MATCH($A46, Console!$A$6:$A$263, 0), MATCH(A$35, Console!$A$6:$E$6, 0)), INDIRECT("'"&amp;A$35&amp;" - 1040'!$A:$A"), IFERROR("&lt;="&amp;IF(INDEX(Console!$A$6:$E$14, MATCH($A46, Console!$A$6:$A$263, 0)+1, MATCH(A$35, Console!$A$6:$E$6, 0))=0, NA(), INDEX(Console!$A$6:$E$14, MATCH($A46, Console!$A$6:$A$263, 0)+1, MATCH(A$35, Console!$A$6:$E$6, 0))),"&gt;0"))</f>
        <v>0</v>
      </c>
      <c r="D46" s="5">
        <f ca="1">SUMIFS(INDIRECT("'"&amp;A$35&amp;" - 1040'!$C:$C"), INDIRECT("'"&amp;A$35&amp;" - 1040'!$A:$A"), "&gt;"&amp;INDEX(Console!$A$6:$E$14, MATCH($A18, Console!$A$6:$A$263, 0), MATCH(A$35, Console!$A$6:$E$6, 0)), INDIRECT("'"&amp;A$35&amp;" - 1040'!$A:$A"), IFERROR("&lt;="&amp;IF(INDEX(Console!$A$6:$E$14, MATCH($A18, Console!$A$6:$A$263, 0)+1, MATCH(A$35, Console!$A$6:$E$6, 0))=0, NA(), INDEX(Console!$A$6:$E$14, MATCH($A18, Console!$A$6:$A$263, 0)+1, MATCH(A$35, Console!$A$6:$E$6, 0))),"&gt;0"))</f>
        <v>0</v>
      </c>
      <c r="E46" s="5">
        <f t="shared" ca="1" si="34"/>
        <v>0</v>
      </c>
      <c r="F46">
        <f ca="1">IF(E46&lt;Console!D$21, Console!D$20, MAX((Console!D$22-E46)/1000*Console!D$23, 0))</f>
        <v>12000</v>
      </c>
      <c r="G46">
        <f ca="1">IF(E46&gt;Console!D$31, MIN((E46-Console!D$31)*Console!D$33/1000, Console!D$32), 0)+IF(E46&gt;Console!D$36, MIN((E46-Console!D$36)*Console!D$38/1000, Console!D$37), 0)</f>
        <v>0</v>
      </c>
      <c r="H46" s="5">
        <f t="shared" ca="1" si="35"/>
        <v>0</v>
      </c>
      <c r="I46" s="18">
        <f ca="1">IF(E46&gt;Console!D$26, IF(E46&lt;Console!D$27, (E46-Console!D$26)*Console!D$28/1000, (Console!D$27-Console!D$26)*Console!D$28/1000), 0)</f>
        <v>0</v>
      </c>
      <c r="J46" s="5">
        <f t="shared" ca="1" si="36"/>
        <v>0</v>
      </c>
      <c r="K46" s="5">
        <f t="shared" ca="1" si="37"/>
        <v>0</v>
      </c>
      <c r="L46" s="5">
        <f t="shared" ca="1" si="38"/>
        <v>0</v>
      </c>
      <c r="M46" s="5">
        <f t="shared" ca="1" si="38"/>
        <v>0</v>
      </c>
      <c r="N46" s="5">
        <f t="shared" ca="1" si="38"/>
        <v>0</v>
      </c>
      <c r="O46" s="5">
        <f t="shared" ca="1" si="38"/>
        <v>0</v>
      </c>
      <c r="P46" s="5">
        <f t="shared" ca="1" si="38"/>
        <v>0</v>
      </c>
      <c r="Q46" s="5">
        <f t="shared" ca="1" si="38"/>
        <v>0</v>
      </c>
      <c r="R46" s="5">
        <f t="shared" ca="1" si="38"/>
        <v>0</v>
      </c>
      <c r="S46" s="5">
        <f t="shared" ca="1" si="38"/>
        <v>0</v>
      </c>
      <c r="T46" s="18">
        <f t="shared" ca="1" si="38"/>
        <v>0</v>
      </c>
      <c r="U46" s="16">
        <f t="shared" ca="1" si="39"/>
        <v>1</v>
      </c>
      <c r="V46" s="16">
        <f t="shared" ca="1" si="40"/>
        <v>0</v>
      </c>
      <c r="W46" s="16">
        <f t="shared" ca="1" si="41"/>
        <v>0</v>
      </c>
      <c r="X46" s="16">
        <f t="shared" ca="1" si="42"/>
        <v>0</v>
      </c>
      <c r="Y46" s="16">
        <f t="shared" ca="1" si="43"/>
        <v>0</v>
      </c>
      <c r="Z46" s="16">
        <f t="shared" ca="1" si="44"/>
        <v>0</v>
      </c>
      <c r="AA46" s="16">
        <f t="shared" ca="1" si="45"/>
        <v>0</v>
      </c>
      <c r="AB46" s="16">
        <f t="shared" ca="1" si="46"/>
        <v>0</v>
      </c>
      <c r="AC46" s="16">
        <f t="shared" ca="1" si="47"/>
        <v>0</v>
      </c>
      <c r="AD46" s="16">
        <f t="shared" ca="1" si="48"/>
        <v>0</v>
      </c>
      <c r="AE46" s="16">
        <f t="shared" ca="1" si="49"/>
        <v>0</v>
      </c>
      <c r="AF46" s="23">
        <f ca="1">SUMIFS(INDIRECT("'"&amp;A$35&amp;" - 1040'!$N:$N"), INDIRECT("'"&amp;A$35&amp;" - 1040'!$A:$A"), "&gt;"&amp;INDEX(Console!$A$6:$E$14, MATCH($A18, Console!$A$6:$A$263, 0), MATCH(A$35, Console!$A$6:$E$6, 0)), INDIRECT("'"&amp;A$35&amp;" - 1040'!$A:$A"), IFERROR("&lt;="&amp;IF(INDEX(Console!$A$6:$E$14, MATCH($A18, Console!$A$6:$A$263, 0)+1, MATCH(A$35, Console!$A$6:$E$6, 0))=0, NA(), INDEX(Console!$A$6:$E$14, MATCH($A18, Console!$A$6:$A$263, 0)+1, MATCH(A$35, Console!$A$6:$E$6, 0))),"&gt;0"))</f>
        <v>0</v>
      </c>
      <c r="AG46" s="16"/>
    </row>
    <row r="47" spans="1:33" x14ac:dyDescent="0.25">
      <c r="A47" s="20">
        <f>Console!A17</f>
        <v>0</v>
      </c>
      <c r="B47" s="8">
        <f>Console!D17</f>
        <v>0</v>
      </c>
      <c r="C47" s="5">
        <f ca="1">SUMIFS(INDIRECT("'"&amp;A$35&amp;" - 1040'!$G:$G"), INDIRECT("'"&amp;A$35&amp;" - 1040'!$A:$A"), "&gt;"&amp;INDEX(Console!$A$6:$E$14, MATCH($A47, Console!$A$6:$A$263, 0), MATCH(A$35, Console!$A$6:$E$6, 0)), INDIRECT("'"&amp;A$35&amp;" - 1040'!$A:$A"), IFERROR("&lt;="&amp;IF(INDEX(Console!$A$6:$E$14, MATCH($A47, Console!$A$6:$A$263, 0)+1, MATCH(A$35, Console!$A$6:$E$6, 0))=0, NA(), INDEX(Console!$A$6:$E$14, MATCH($A47, Console!$A$6:$A$263, 0)+1, MATCH(A$35, Console!$A$6:$E$6, 0))),"&gt;0"))</f>
        <v>0</v>
      </c>
      <c r="D47" s="5">
        <f ca="1">SUMIFS(INDIRECT("'"&amp;A$35&amp;" - 1040'!$C:$C"), INDIRECT("'"&amp;A$35&amp;" - 1040'!$A:$A"), "&gt;"&amp;INDEX(Console!$A$6:$E$14, MATCH($A19, Console!$A$6:$A$263, 0), MATCH(A$35, Console!$A$6:$E$6, 0)), INDIRECT("'"&amp;A$35&amp;" - 1040'!$A:$A"), IFERROR("&lt;="&amp;IF(INDEX(Console!$A$6:$E$14, MATCH($A19, Console!$A$6:$A$263, 0)+1, MATCH(A$35, Console!$A$6:$E$6, 0))=0, NA(), INDEX(Console!$A$6:$E$14, MATCH($A19, Console!$A$6:$A$263, 0)+1, MATCH(A$35, Console!$A$6:$E$6, 0))),"&gt;0"))</f>
        <v>0</v>
      </c>
      <c r="E47" s="5">
        <f t="shared" ca="1" si="34"/>
        <v>0</v>
      </c>
      <c r="F47">
        <f ca="1">IF(E47&lt;Console!D$21, Console!D$20, MAX((Console!D$22-E47)/1000*Console!D$23, 0))</f>
        <v>12000</v>
      </c>
      <c r="G47">
        <f ca="1">IF(E47&gt;Console!D$31, MIN((E47-Console!D$31)*Console!D$33/1000, Console!D$32), 0)+IF(E47&gt;Console!D$36, MIN((E47-Console!D$36)*Console!D$38/1000, Console!D$37), 0)</f>
        <v>0</v>
      </c>
      <c r="H47" s="5">
        <f t="shared" ca="1" si="35"/>
        <v>0</v>
      </c>
      <c r="I47" s="18">
        <f ca="1">IF(E47&gt;Console!D$26, IF(E47&lt;Console!D$27, (E47-Console!D$26)*Console!D$28/1000, (Console!D$27-Console!D$26)*Console!D$28/1000), 0)</f>
        <v>0</v>
      </c>
      <c r="J47" s="5">
        <f t="shared" ca="1" si="36"/>
        <v>0</v>
      </c>
      <c r="K47" s="5">
        <f t="shared" ca="1" si="37"/>
        <v>0</v>
      </c>
      <c r="L47" s="5">
        <f t="shared" ca="1" si="38"/>
        <v>0</v>
      </c>
      <c r="M47" s="5">
        <f t="shared" ca="1" si="38"/>
        <v>0</v>
      </c>
      <c r="N47" s="5">
        <f t="shared" ca="1" si="38"/>
        <v>0</v>
      </c>
      <c r="O47" s="5">
        <f t="shared" ca="1" si="38"/>
        <v>0</v>
      </c>
      <c r="P47" s="5">
        <f t="shared" ca="1" si="38"/>
        <v>0</v>
      </c>
      <c r="Q47" s="5">
        <f t="shared" ca="1" si="38"/>
        <v>0</v>
      </c>
      <c r="R47" s="5">
        <f t="shared" ca="1" si="38"/>
        <v>0</v>
      </c>
      <c r="S47" s="5">
        <f t="shared" ca="1" si="38"/>
        <v>0</v>
      </c>
      <c r="T47" s="18">
        <f t="shared" ca="1" si="38"/>
        <v>0</v>
      </c>
      <c r="U47" s="16">
        <f t="shared" ca="1" si="39"/>
        <v>1</v>
      </c>
      <c r="V47" s="16">
        <f t="shared" ca="1" si="40"/>
        <v>0</v>
      </c>
      <c r="W47" s="16">
        <f t="shared" ca="1" si="41"/>
        <v>0</v>
      </c>
      <c r="X47" s="16">
        <f t="shared" ca="1" si="42"/>
        <v>0</v>
      </c>
      <c r="Y47" s="16">
        <f t="shared" ca="1" si="43"/>
        <v>0</v>
      </c>
      <c r="Z47" s="16">
        <f t="shared" ca="1" si="44"/>
        <v>0</v>
      </c>
      <c r="AA47" s="16">
        <f t="shared" ca="1" si="45"/>
        <v>0</v>
      </c>
      <c r="AB47" s="16">
        <f t="shared" ca="1" si="46"/>
        <v>0</v>
      </c>
      <c r="AC47" s="16">
        <f t="shared" ca="1" si="47"/>
        <v>0</v>
      </c>
      <c r="AD47" s="16">
        <f t="shared" ca="1" si="48"/>
        <v>0</v>
      </c>
      <c r="AE47" s="16">
        <f t="shared" ca="1" si="49"/>
        <v>0</v>
      </c>
      <c r="AF47" s="23">
        <f ca="1">SUMIFS(INDIRECT("'"&amp;A$35&amp;" - 1040'!$N:$N"), INDIRECT("'"&amp;A$35&amp;" - 1040'!$A:$A"), "&gt;"&amp;INDEX(Console!$A$6:$E$14, MATCH($A19, Console!$A$6:$A$263, 0), MATCH(A$35, Console!$A$6:$E$6, 0)), INDIRECT("'"&amp;A$35&amp;" - 1040'!$A:$A"), IFERROR("&lt;="&amp;IF(INDEX(Console!$A$6:$E$14, MATCH($A19, Console!$A$6:$A$263, 0)+1, MATCH(A$35, Console!$A$6:$E$6, 0))=0, NA(), INDEX(Console!$A$6:$E$14, MATCH($A19, Console!$A$6:$A$263, 0)+1, MATCH(A$35, Console!$A$6:$E$6, 0))),"&gt;0"))</f>
        <v>0</v>
      </c>
      <c r="AG47" s="16"/>
    </row>
    <row r="48" spans="1:33" x14ac:dyDescent="0.25">
      <c r="A48" s="71" t="s">
        <v>451</v>
      </c>
    </row>
    <row r="49" spans="1:33" ht="18" thickBot="1" x14ac:dyDescent="0.35">
      <c r="A49" s="72" t="s">
        <v>70</v>
      </c>
    </row>
    <row r="50" spans="1:33" ht="30.75" thickTop="1" x14ac:dyDescent="0.25">
      <c r="A50" s="27" t="s">
        <v>69</v>
      </c>
      <c r="B50" s="27" t="s">
        <v>85</v>
      </c>
      <c r="C50" s="27" t="s">
        <v>74</v>
      </c>
      <c r="D50" s="27" t="s">
        <v>75</v>
      </c>
      <c r="E50" s="27" t="s">
        <v>76</v>
      </c>
      <c r="F50" s="27" t="s">
        <v>77</v>
      </c>
      <c r="G50" s="27" t="s">
        <v>131</v>
      </c>
      <c r="H50" s="27" t="s">
        <v>132</v>
      </c>
      <c r="I50" s="27" t="s">
        <v>87</v>
      </c>
      <c r="J50" s="28">
        <v>0.03</v>
      </c>
      <c r="K50" s="28">
        <v>0.05</v>
      </c>
      <c r="L50" s="28">
        <v>5.5E-2</v>
      </c>
      <c r="M50" s="28">
        <v>0.06</v>
      </c>
      <c r="N50" s="28">
        <v>6.5000000000000002E-2</v>
      </c>
      <c r="O50" s="28">
        <v>6.9000000000000006E-2</v>
      </c>
      <c r="P50" s="28">
        <v>6.9900000000000004E-2</v>
      </c>
      <c r="Q50" s="28">
        <v>0</v>
      </c>
      <c r="R50" s="28">
        <v>0</v>
      </c>
      <c r="S50" s="28">
        <v>0</v>
      </c>
      <c r="T50" s="28">
        <v>0</v>
      </c>
      <c r="U50" s="28">
        <v>0.03</v>
      </c>
      <c r="V50" s="28">
        <v>0.05</v>
      </c>
      <c r="W50" s="28">
        <v>5.5E-2</v>
      </c>
      <c r="X50" s="28">
        <v>0.06</v>
      </c>
      <c r="Y50" s="28">
        <v>6.5000000000000002E-2</v>
      </c>
      <c r="Z50" s="28">
        <v>6.9000000000000006E-2</v>
      </c>
      <c r="AA50" s="28">
        <v>6.9900000000000004E-2</v>
      </c>
      <c r="AB50" s="28">
        <v>0</v>
      </c>
      <c r="AC50" s="28">
        <v>0</v>
      </c>
      <c r="AD50" s="28">
        <v>0</v>
      </c>
      <c r="AE50" s="28">
        <v>0</v>
      </c>
      <c r="AF50" s="28" t="s">
        <v>362</v>
      </c>
      <c r="AG50" s="22"/>
    </row>
    <row r="51" spans="1:33" x14ac:dyDescent="0.25">
      <c r="A51" s="20">
        <f>Console!A7</f>
        <v>0.03</v>
      </c>
      <c r="B51" s="8">
        <f>Console!E7</f>
        <v>0</v>
      </c>
      <c r="C51" s="5">
        <f ca="1">SUMIFS(INDIRECT("'"&amp;A$49&amp;" - 1040'!$G:$G"), INDIRECT("'"&amp;A$49&amp;" - 1040'!$A:$A"), "&gt;"&amp;INDEX(Console!$A$6:$E$14, MATCH($A51, Console!$A$6:$A$263, 0), MATCH(A$49, Console!$A$6:$E$6, 0)), INDIRECT("'"&amp;A$49&amp;" - 1040'!$A:$A"), IFERROR("&lt;="&amp;IF(INDEX(Console!$A$6:$E$14, MATCH($A51, Console!$A$6:$A$263, 0)+1, MATCH(A$49, Console!$A$6:$E$6, 0))=0, NA(), INDEX(Console!$A$6:$E$14, MATCH($A51, Console!$A$6:$A$263, 0)+1, MATCH(A$49, Console!$A$6:$E$6, 0))),"&gt;0"))</f>
        <v>222048748</v>
      </c>
      <c r="D51" s="5">
        <f ca="1">SUMIFS(INDIRECT("'"&amp;A$49&amp;" - 1040'!$C:$C"), INDIRECT("'"&amp;A$49&amp;" - 1040'!$A:$A"), "&gt;"&amp;INDEX(Console!$A$6:$E$14, MATCH($A23, Console!$A$6:$A$263, 0), MATCH(A$49, Console!$A$6:$E$6, 0)), INDIRECT("'"&amp;A$49&amp;" - 1040'!$A:$A"), IFERROR("&lt;="&amp;IF(INDEX(Console!$A$6:$E$14, MATCH($A23, Console!$A$6:$A$263, 0)+1, MATCH(A$49, Console!$A$6:$E$6, 0))=0, NA(), INDEX(Console!$A$6:$E$14, MATCH($A23, Console!$A$6:$A$263, 0)+1, MATCH(A$49, Console!$A$6:$E$6, 0))),"&gt;0"))</f>
        <v>25518</v>
      </c>
      <c r="E51" s="5">
        <f t="shared" ref="E51:E61" ca="1" si="50">IFERROR(C51/D51, 0)</f>
        <v>8701.6516968414453</v>
      </c>
      <c r="F51">
        <f ca="1">IF(E51&lt;Console!E$21, Console!E$20, MAX((Console!E$22-E51)/1000*Console!E$23, 0))</f>
        <v>19000</v>
      </c>
      <c r="G51">
        <f ca="1">IF(E51&gt;Console!E$31, MIN((E51-Console!E$31)*Console!E$33/1000, Console!E$32), 0)+IF(E51&gt;Console!E$36, MIN((E51-Console!E$36)*Console!E$38/1000, Console!E$37), 0)</f>
        <v>0</v>
      </c>
      <c r="H51" s="5">
        <f t="shared" ref="H51:H61" ca="1" si="51">G51*D51</f>
        <v>0</v>
      </c>
      <c r="I51" s="18">
        <f ca="1">IF(E51&gt;Console!E$26, IF(E51&lt;Console!E$27, (E51-Console!E$26)*Console!E$28/1000, (Console!E$27-Console!E$26)*Console!E$28/1000), 0)</f>
        <v>0</v>
      </c>
      <c r="J51" s="5">
        <f t="shared" ref="J51:J61" ca="1" si="52">MAX(IF(AND(($E51-$F51)&gt;INDEX($B$51:$B$61, MATCH(J$8,$A$51:$A$61, 0)+1, 0), INDEX($B$51:$B$61, MATCH(J$8,$A$51:$A$61, 0)+1, 0) - INDEX($B$51:$B$61, MATCH(J$8,$A$51:$A$61, 0), 0) &gt;= 0), INDEX($B$51:$B$61, MATCH(J$8,$A$51:$A$61, 0) +1, 0)-INDEX($B$51:$B$61, MATCH(J$8,$A$51:$A$61, 0), 0)-$I51, MAX($E51-$F51, 0) - INDEX($B$51:$B$61, MATCH(J$8,$A$51:$A$61, 0), 0)), 0)</f>
        <v>0</v>
      </c>
      <c r="K51" s="5">
        <f t="shared" ref="K51:K61" ca="1" si="53">MAX(IF(AND(($E51-$F51)&gt;INDEX($B$51:$B$61, MATCH(K$8,$A$51:$A$61, 0)+1, 0), INDEX($B$51:$B$61, MATCH(K$8,$A$51:$A$61, 0)+1, 0) - INDEX($B$51:$B$61, MATCH(K$8,$A$51:$A$61, 0), 0) &gt;= 0), INDEX($B$51:$B$61, MATCH(K$8,$A$51:$A$61, 0) +1, 0)-INDEX($B$51:$B$61, MATCH(K$8,$A$51:$A$61, 0), 0)+$I51, MAX($E51-$F51, 0) - INDEX($B$51:$B$61, MATCH(K$8,$A$51:$A$61, 0), 0)), 0)</f>
        <v>0</v>
      </c>
      <c r="L51" s="5">
        <f t="shared" ref="L51:T61" ca="1" si="54">MAX(IF(AND(($E51-$F51)&gt;INDEX($B$51:$B$61, MATCH(L$8,$A$51:$A$61, 0)+1, 0), INDEX($B$51:$B$61, MATCH(L$8,$A$51:$A$61, 0)+1, 0) - INDEX($B$51:$B$61, MATCH(L$8,$A$51:$A$61, 0), 0) &gt;= 0), INDEX($B$51:$B$61, MATCH(L$8,$A$51:$A$61, 0) +1, 0)-INDEX($B$51:$B$61, MATCH(L$8,$A$51:$A$61, 0), 0), MAX($E51-$F51, 0) - INDEX($B$51:$B$61, MATCH(L$8,$A$51:$A$61, 0), 0)), 0)</f>
        <v>0</v>
      </c>
      <c r="M51" s="5">
        <f t="shared" ca="1" si="54"/>
        <v>0</v>
      </c>
      <c r="N51" s="5">
        <f t="shared" ca="1" si="54"/>
        <v>0</v>
      </c>
      <c r="O51" s="5">
        <f t="shared" ca="1" si="54"/>
        <v>0</v>
      </c>
      <c r="P51" s="5">
        <f t="shared" ca="1" si="54"/>
        <v>0</v>
      </c>
      <c r="Q51" s="5">
        <f t="shared" ca="1" si="54"/>
        <v>0</v>
      </c>
      <c r="R51" s="5">
        <f t="shared" ca="1" si="54"/>
        <v>0</v>
      </c>
      <c r="S51" s="5">
        <f t="shared" ca="1" si="54"/>
        <v>0</v>
      </c>
      <c r="T51" s="17">
        <f t="shared" ca="1" si="54"/>
        <v>0</v>
      </c>
      <c r="U51" s="16">
        <f t="shared" ref="U51:U61" ca="1" si="55">IFERROR(1 - SUM(V51:AE51), 0)</f>
        <v>1</v>
      </c>
      <c r="V51" s="16">
        <f t="shared" ref="V51:V61" ca="1" si="56">IFERROR(K51/SUM($J51:$T51), 0)</f>
        <v>0</v>
      </c>
      <c r="W51" s="16">
        <f t="shared" ref="W51:W61" ca="1" si="57">IFERROR(L51/SUM($J51:$T51), 0)</f>
        <v>0</v>
      </c>
      <c r="X51" s="16">
        <f t="shared" ref="X51:X61" ca="1" si="58">IFERROR(M51/SUM($J51:$T51), 0)</f>
        <v>0</v>
      </c>
      <c r="Y51" s="16">
        <f t="shared" ref="Y51:Y61" ca="1" si="59">IFERROR(N51/SUM($J51:$T51), 0)</f>
        <v>0</v>
      </c>
      <c r="Z51" s="16">
        <f t="shared" ref="Z51:Z61" ca="1" si="60">IFERROR(O51/SUM($J51:$T51), 0)</f>
        <v>0</v>
      </c>
      <c r="AA51" s="16">
        <f t="shared" ref="AA51:AA61" ca="1" si="61">IFERROR(P51/SUM($J51:$T51), 0)</f>
        <v>0</v>
      </c>
      <c r="AB51" s="16">
        <f t="shared" ref="AB51:AB61" ca="1" si="62">IFERROR(Q51/SUM($J51:$T51), 0)</f>
        <v>0</v>
      </c>
      <c r="AC51" s="16">
        <f t="shared" ref="AC51:AC61" ca="1" si="63">IFERROR(R51/SUM($J51:$T51), 0)</f>
        <v>0</v>
      </c>
      <c r="AD51" s="16">
        <f t="shared" ref="AD51:AD61" ca="1" si="64">IFERROR(S51/SUM($J51:$T51), 0)</f>
        <v>0</v>
      </c>
      <c r="AE51" s="16">
        <f t="shared" ref="AE51:AE61" ca="1" si="65">IFERROR(T51/SUM($J51:$T51), 0)</f>
        <v>0</v>
      </c>
      <c r="AF51" s="23">
        <f ca="1">SUMIFS(INDIRECT("'"&amp;A$49&amp;" - 1040'!$N:$N"), INDIRECT("'"&amp;A$49&amp;" - 1040'!$A:$A"), "&gt;"&amp;INDEX(Console!$A$6:$E$14, MATCH($A23, Console!$A$6:$A$263, 0), MATCH(A$49, Console!$A$6:$E$6, 0)), INDIRECT("'"&amp;A$49&amp;" - 1040'!$A:$A"), IFERROR("&lt;="&amp;IF(INDEX(Console!$A$6:$E$14, MATCH($A23, Console!$A$6:$A$263, 0)+1, MATCH(A$49, Console!$A$6:$E$6, 0))=0, NA(), INDEX(Console!$A$6:$E$14, MATCH($A23, Console!$A$6:$A$263, 0)+1, MATCH(A$49, Console!$A$6:$E$6, 0))),"&gt;0"))</f>
        <v>1355</v>
      </c>
      <c r="AG51" s="16"/>
    </row>
    <row r="52" spans="1:33" x14ac:dyDescent="0.25">
      <c r="A52" s="20">
        <f>Console!A8</f>
        <v>0.05</v>
      </c>
      <c r="B52" s="8">
        <f>Console!E8</f>
        <v>16000</v>
      </c>
      <c r="C52" s="5">
        <f ca="1">SUMIFS(INDIRECT("'"&amp;A$49&amp;" - 1040'!$G:$G"), INDIRECT("'"&amp;A$49&amp;" - 1040'!$A:$A"), "&gt;"&amp;INDEX(Console!$A$6:$E$14, MATCH($A52, Console!$A$6:$A$263, 0), MATCH(A$49, Console!$A$6:$E$6, 0)), INDIRECT("'"&amp;A$49&amp;" - 1040'!$A:$A"), IFERROR("&lt;="&amp;IF(INDEX(Console!$A$6:$E$14, MATCH($A52, Console!$A$6:$A$263, 0)+1, MATCH(A$49, Console!$A$6:$E$6, 0))=0, NA(), INDEX(Console!$A$6:$E$14, MATCH($A52, Console!$A$6:$A$263, 0)+1, MATCH(A$49, Console!$A$6:$E$6, 0))),"&gt;0"))</f>
        <v>5747208034</v>
      </c>
      <c r="D52" s="5">
        <f ca="1">SUMIFS(INDIRECT("'"&amp;A$49&amp;" - 1040'!$C:$C"), INDIRECT("'"&amp;A$49&amp;" - 1040'!$A:$A"), "&gt;"&amp;INDEX(Console!$A$6:$E$14, MATCH($A24, Console!$A$6:$A$263, 0), MATCH(A$49, Console!$A$6:$E$6, 0)), INDIRECT("'"&amp;A$49&amp;" - 1040'!$A:$A"), IFERROR("&lt;="&amp;IF(INDEX(Console!$A$6:$E$14, MATCH($A24, Console!$A$6:$A$263, 0)+1, MATCH(A$49, Console!$A$6:$E$6, 0))=0, NA(), INDEX(Console!$A$6:$E$14, MATCH($A24, Console!$A$6:$A$263, 0)+1, MATCH(A$49, Console!$A$6:$E$6, 0))),"&gt;0"))</f>
        <v>149831</v>
      </c>
      <c r="E52" s="5">
        <f t="shared" ca="1" si="50"/>
        <v>38357.936835501328</v>
      </c>
      <c r="F52">
        <f ca="1">IF(E52&lt;Console!E$21, Console!E$20, MAX((Console!E$22-E52)/1000*Console!E$23, 0))</f>
        <v>18642.063164498672</v>
      </c>
      <c r="G52">
        <f ca="1">IF(E52&gt;Console!E$31, MIN((E52-Console!E$31)*Console!E$33/1000, Console!E$32), 0)+IF(E52&gt;Console!E$36, MIN((E52-Console!E$36)*Console!E$38/1000, Console!E$37), 0)</f>
        <v>0</v>
      </c>
      <c r="H52" s="5">
        <f t="shared" ca="1" si="51"/>
        <v>0</v>
      </c>
      <c r="I52" s="18">
        <f ca="1">IF(E52&gt;Console!E$26, IF(E52&lt;Console!E$27, (E52-Console!E$26)*Console!E$28/1000, (Console!E$27-Console!E$26)*Console!E$28/1000), 0)</f>
        <v>0</v>
      </c>
      <c r="J52" s="5">
        <f t="shared" ca="1" si="52"/>
        <v>16000</v>
      </c>
      <c r="K52" s="5">
        <f t="shared" ca="1" si="53"/>
        <v>3715.8736710026569</v>
      </c>
      <c r="L52" s="5">
        <f t="shared" ca="1" si="54"/>
        <v>0</v>
      </c>
      <c r="M52" s="5">
        <f t="shared" ca="1" si="54"/>
        <v>0</v>
      </c>
      <c r="N52" s="5">
        <f t="shared" ca="1" si="54"/>
        <v>0</v>
      </c>
      <c r="O52" s="5">
        <f t="shared" ca="1" si="54"/>
        <v>0</v>
      </c>
      <c r="P52" s="5">
        <f t="shared" ca="1" si="54"/>
        <v>0</v>
      </c>
      <c r="Q52" s="5">
        <f t="shared" ca="1" si="54"/>
        <v>0</v>
      </c>
      <c r="R52" s="5">
        <f t="shared" ca="1" si="54"/>
        <v>0</v>
      </c>
      <c r="S52" s="5">
        <f t="shared" ca="1" si="54"/>
        <v>0</v>
      </c>
      <c r="T52" s="18">
        <f t="shared" ca="1" si="54"/>
        <v>0</v>
      </c>
      <c r="U52" s="16">
        <f t="shared" ca="1" si="55"/>
        <v>0.81152883544451693</v>
      </c>
      <c r="V52" s="16">
        <f t="shared" ca="1" si="56"/>
        <v>0.18847116455548302</v>
      </c>
      <c r="W52" s="16">
        <f t="shared" ca="1" si="57"/>
        <v>0</v>
      </c>
      <c r="X52" s="16">
        <f t="shared" ca="1" si="58"/>
        <v>0</v>
      </c>
      <c r="Y52" s="16">
        <f t="shared" ca="1" si="59"/>
        <v>0</v>
      </c>
      <c r="Z52" s="16">
        <f t="shared" ca="1" si="60"/>
        <v>0</v>
      </c>
      <c r="AA52" s="16">
        <f t="shared" ca="1" si="61"/>
        <v>0</v>
      </c>
      <c r="AB52" s="16">
        <f t="shared" ca="1" si="62"/>
        <v>0</v>
      </c>
      <c r="AC52" s="16">
        <f t="shared" ca="1" si="63"/>
        <v>0</v>
      </c>
      <c r="AD52" s="16">
        <f t="shared" ca="1" si="64"/>
        <v>0</v>
      </c>
      <c r="AE52" s="16">
        <f t="shared" ca="1" si="65"/>
        <v>0</v>
      </c>
      <c r="AF52" s="23">
        <f ca="1">SUMIFS(INDIRECT("'"&amp;A$49&amp;" - 1040'!$N:$N"), INDIRECT("'"&amp;A$49&amp;" - 1040'!$A:$A"), "&gt;"&amp;INDEX(Console!$A$6:$E$14, MATCH($A24, Console!$A$6:$A$263, 0), MATCH(A$49, Console!$A$6:$E$6, 0)), INDIRECT("'"&amp;A$49&amp;" - 1040'!$A:$A"), IFERROR("&lt;="&amp;IF(INDEX(Console!$A$6:$E$14, MATCH($A24, Console!$A$6:$A$263, 0)+1, MATCH(A$49, Console!$A$6:$E$6, 0))=0, NA(), INDEX(Console!$A$6:$E$14, MATCH($A24, Console!$A$6:$A$263, 0)+1, MATCH(A$49, Console!$A$6:$E$6, 0))),"&gt;0"))</f>
        <v>115379527</v>
      </c>
      <c r="AG52" s="16"/>
    </row>
    <row r="53" spans="1:33" x14ac:dyDescent="0.25">
      <c r="A53" s="20">
        <f>Console!A9</f>
        <v>5.5E-2</v>
      </c>
      <c r="B53" s="8">
        <f>Console!E9</f>
        <v>80000</v>
      </c>
      <c r="C53" s="5">
        <f ca="1">SUMIFS(INDIRECT("'"&amp;A$49&amp;" - 1040'!$G:$G"), INDIRECT("'"&amp;A$49&amp;" - 1040'!$A:$A"), "&gt;"&amp;INDEX(Console!$A$6:$E$14, MATCH($A53, Console!$A$6:$A$263, 0), MATCH(A$49, Console!$A$6:$E$6, 0)), INDIRECT("'"&amp;A$49&amp;" - 1040'!$A:$A"), IFERROR("&lt;="&amp;IF(INDEX(Console!$A$6:$E$14, MATCH($A53, Console!$A$6:$A$263, 0)+1, MATCH(A$49, Console!$A$6:$E$6, 0))=0, NA(), INDEX(Console!$A$6:$E$14, MATCH($A53, Console!$A$6:$A$263, 0)+1, MATCH(A$49, Console!$A$6:$E$6, 0))),"&gt;0"))</f>
        <v>2923430382</v>
      </c>
      <c r="D53" s="5">
        <f ca="1">SUMIFS(INDIRECT("'"&amp;A$49&amp;" - 1040'!$C:$C"), INDIRECT("'"&amp;A$49&amp;" - 1040'!$A:$A"), "&gt;"&amp;INDEX(Console!$A$6:$E$14, MATCH($A25, Console!$A$6:$A$263, 0), MATCH(A$49, Console!$A$6:$E$6, 0)), INDIRECT("'"&amp;A$49&amp;" - 1040'!$A:$A"), IFERROR("&lt;="&amp;IF(INDEX(Console!$A$6:$E$14, MATCH($A25, Console!$A$6:$A$263, 0)+1, MATCH(A$49, Console!$A$6:$E$6, 0))=0, NA(), INDEX(Console!$A$6:$E$14, MATCH($A25, Console!$A$6:$A$263, 0)+1, MATCH(A$49, Console!$A$6:$E$6, 0))),"&gt;0"))</f>
        <v>29498</v>
      </c>
      <c r="E53" s="5">
        <f t="shared" ca="1" si="50"/>
        <v>99106.054037561873</v>
      </c>
      <c r="F53">
        <f ca="1">IF(E53&lt;Console!E$21, Console!E$20, MAX((Console!E$22-E53)/1000*Console!E$23, 0))</f>
        <v>0</v>
      </c>
      <c r="G53">
        <f ca="1">IF(E53&gt;Console!E$31, MIN((E53-Console!E$31)*Console!E$33/1000, Console!E$32), 0)+IF(E53&gt;Console!E$36, MIN((E53-Console!E$36)*Console!E$38/1000, Console!E$37), 0)</f>
        <v>0</v>
      </c>
      <c r="H53" s="5">
        <f t="shared" ca="1" si="51"/>
        <v>0</v>
      </c>
      <c r="I53" s="18">
        <f ca="1">IF(E53&gt;Console!E$26, IF(E53&lt;Console!E$27, (E53-Console!E$26)*Console!E$28/1000, (Console!E$27-Console!E$26)*Console!E$28/1000), 0)</f>
        <v>8242.4216150247485</v>
      </c>
      <c r="J53" s="5">
        <f t="shared" ca="1" si="52"/>
        <v>7757.5783849752515</v>
      </c>
      <c r="K53" s="5">
        <f t="shared" ca="1" si="53"/>
        <v>72242.421615024752</v>
      </c>
      <c r="L53" s="5">
        <f t="shared" ca="1" si="54"/>
        <v>19106.054037561873</v>
      </c>
      <c r="M53" s="5">
        <f t="shared" ca="1" si="54"/>
        <v>0</v>
      </c>
      <c r="N53" s="5">
        <f t="shared" ca="1" si="54"/>
        <v>0</v>
      </c>
      <c r="O53" s="5">
        <f t="shared" ca="1" si="54"/>
        <v>0</v>
      </c>
      <c r="P53" s="5">
        <f t="shared" ca="1" si="54"/>
        <v>0</v>
      </c>
      <c r="Q53" s="5">
        <f t="shared" ca="1" si="54"/>
        <v>0</v>
      </c>
      <c r="R53" s="5">
        <f t="shared" ca="1" si="54"/>
        <v>0</v>
      </c>
      <c r="S53" s="5">
        <f t="shared" ca="1" si="54"/>
        <v>0</v>
      </c>
      <c r="T53" s="18">
        <f t="shared" ca="1" si="54"/>
        <v>0</v>
      </c>
      <c r="U53" s="16">
        <f t="shared" ca="1" si="55"/>
        <v>7.8275524742767666E-2</v>
      </c>
      <c r="V53" s="16">
        <f t="shared" ca="1" si="56"/>
        <v>0.72894055077245212</v>
      </c>
      <c r="W53" s="16">
        <f t="shared" ca="1" si="57"/>
        <v>0.19278392448478018</v>
      </c>
      <c r="X53" s="16">
        <f t="shared" ca="1" si="58"/>
        <v>0</v>
      </c>
      <c r="Y53" s="16">
        <f t="shared" ca="1" si="59"/>
        <v>0</v>
      </c>
      <c r="Z53" s="16">
        <f t="shared" ca="1" si="60"/>
        <v>0</v>
      </c>
      <c r="AA53" s="16">
        <f t="shared" ca="1" si="61"/>
        <v>0</v>
      </c>
      <c r="AB53" s="16">
        <f t="shared" ca="1" si="62"/>
        <v>0</v>
      </c>
      <c r="AC53" s="16">
        <f t="shared" ca="1" si="63"/>
        <v>0</v>
      </c>
      <c r="AD53" s="16">
        <f t="shared" ca="1" si="64"/>
        <v>0</v>
      </c>
      <c r="AE53" s="16">
        <f t="shared" ca="1" si="65"/>
        <v>0</v>
      </c>
      <c r="AF53" s="23">
        <f ca="1">SUMIFS(INDIRECT("'"&amp;A$49&amp;" - 1040'!$N:$N"), INDIRECT("'"&amp;A$49&amp;" - 1040'!$A:$A"), "&gt;"&amp;INDEX(Console!$A$6:$E$14, MATCH($A25, Console!$A$6:$A$263, 0), MATCH(A$49, Console!$A$6:$E$6, 0)), INDIRECT("'"&amp;A$49&amp;" - 1040'!$A:$A"), IFERROR("&lt;="&amp;IF(INDEX(Console!$A$6:$E$14, MATCH($A25, Console!$A$6:$A$263, 0)+1, MATCH(A$49, Console!$A$6:$E$6, 0))=0, NA(), INDEX(Console!$A$6:$E$14, MATCH($A25, Console!$A$6:$A$263, 0)+1, MATCH(A$49, Console!$A$6:$E$6, 0))),"&gt;0"))</f>
        <v>131199939</v>
      </c>
      <c r="AG53" s="16"/>
    </row>
    <row r="54" spans="1:33" x14ac:dyDescent="0.25">
      <c r="A54" s="20">
        <f>Console!A10</f>
        <v>0.06</v>
      </c>
      <c r="B54" s="8">
        <f>Console!E10</f>
        <v>160000</v>
      </c>
      <c r="C54" s="5">
        <f ca="1">SUMIFS(INDIRECT("'"&amp;A$49&amp;" - 1040'!$G:$G"), INDIRECT("'"&amp;A$49&amp;" - 1040'!$A:$A"), "&gt;"&amp;INDEX(Console!$A$6:$E$14, MATCH($A54, Console!$A$6:$A$263, 0), MATCH(A$49, Console!$A$6:$E$6, 0)), INDIRECT("'"&amp;A$49&amp;" - 1040'!$A:$A"), IFERROR("&lt;="&amp;IF(INDEX(Console!$A$6:$E$14, MATCH($A54, Console!$A$6:$A$263, 0)+1, MATCH(A$49, Console!$A$6:$E$6, 0))=0, NA(), INDEX(Console!$A$6:$E$14, MATCH($A54, Console!$A$6:$A$263, 0)+1, MATCH(A$49, Console!$A$6:$E$6, 0))),"&gt;0"))</f>
        <v>914876641</v>
      </c>
      <c r="D54" s="5">
        <f ca="1">SUMIFS(INDIRECT("'"&amp;A$49&amp;" - 1040'!$C:$C"), INDIRECT("'"&amp;A$49&amp;" - 1040'!$A:$A"), "&gt;"&amp;INDEX(Console!$A$6:$E$14, MATCH($A26, Console!$A$6:$A$263, 0), MATCH(A$49, Console!$A$6:$E$6, 0)), INDIRECT("'"&amp;A$49&amp;" - 1040'!$A:$A"), IFERROR("&lt;="&amp;IF(INDEX(Console!$A$6:$E$14, MATCH($A26, Console!$A$6:$A$263, 0)+1, MATCH(A$49, Console!$A$6:$E$6, 0))=0, NA(), INDEX(Console!$A$6:$E$14, MATCH($A26, Console!$A$6:$A$263, 0)+1, MATCH(A$49, Console!$A$6:$E$6, 0))),"&gt;0"))</f>
        <v>4926</v>
      </c>
      <c r="E54" s="5">
        <f t="shared" ca="1" si="50"/>
        <v>185724.04405196913</v>
      </c>
      <c r="F54">
        <f ca="1">IF(E54&lt;Console!E$21, Console!E$20, MAX((Console!E$22-E54)/1000*Console!E$23, 0))</f>
        <v>0</v>
      </c>
      <c r="G54">
        <f ca="1">IF(E54&gt;Console!E$31, MIN((E54-Console!E$31)*Console!E$33/1000, Console!E$32), 0)+IF(E54&gt;Console!E$36, MIN((E54-Console!E$36)*Console!E$38/1000, Console!E$37), 0)</f>
        <v>0</v>
      </c>
      <c r="H54" s="5">
        <f t="shared" ca="1" si="51"/>
        <v>0</v>
      </c>
      <c r="I54" s="18">
        <f ca="1">IF(E54&gt;Console!E$26, IF(E54&lt;Console!E$27, (E54-Console!E$26)*Console!E$28/1000, (Console!E$27-Console!E$26)*Console!E$28/1000), 0)</f>
        <v>16000</v>
      </c>
      <c r="J54" s="5">
        <f t="shared" ca="1" si="52"/>
        <v>0</v>
      </c>
      <c r="K54" s="5">
        <f t="shared" ca="1" si="53"/>
        <v>80000</v>
      </c>
      <c r="L54" s="5">
        <f t="shared" ca="1" si="54"/>
        <v>80000</v>
      </c>
      <c r="M54" s="5">
        <f t="shared" ca="1" si="54"/>
        <v>25724.044051969133</v>
      </c>
      <c r="N54" s="5">
        <f t="shared" ca="1" si="54"/>
        <v>0</v>
      </c>
      <c r="O54" s="5">
        <f t="shared" ca="1" si="54"/>
        <v>0</v>
      </c>
      <c r="P54" s="5">
        <f t="shared" ca="1" si="54"/>
        <v>0</v>
      </c>
      <c r="Q54" s="5">
        <f t="shared" ca="1" si="54"/>
        <v>0</v>
      </c>
      <c r="R54" s="5">
        <f t="shared" ca="1" si="54"/>
        <v>0</v>
      </c>
      <c r="S54" s="5">
        <f t="shared" ca="1" si="54"/>
        <v>0</v>
      </c>
      <c r="T54" s="18">
        <f t="shared" ca="1" si="54"/>
        <v>0</v>
      </c>
      <c r="U54" s="16">
        <f t="shared" ca="1" si="55"/>
        <v>0</v>
      </c>
      <c r="V54" s="16">
        <f t="shared" ca="1" si="56"/>
        <v>0.43074659723441339</v>
      </c>
      <c r="W54" s="16">
        <f t="shared" ca="1" si="57"/>
        <v>0.43074659723441339</v>
      </c>
      <c r="X54" s="16">
        <f t="shared" ca="1" si="58"/>
        <v>0.1385068055311732</v>
      </c>
      <c r="Y54" s="16">
        <f t="shared" ca="1" si="59"/>
        <v>0</v>
      </c>
      <c r="Z54" s="16">
        <f t="shared" ca="1" si="60"/>
        <v>0</v>
      </c>
      <c r="AA54" s="16">
        <f t="shared" ca="1" si="61"/>
        <v>0</v>
      </c>
      <c r="AB54" s="16">
        <f t="shared" ca="1" si="62"/>
        <v>0</v>
      </c>
      <c r="AC54" s="16">
        <f t="shared" ca="1" si="63"/>
        <v>0</v>
      </c>
      <c r="AD54" s="16">
        <f t="shared" ca="1" si="64"/>
        <v>0</v>
      </c>
      <c r="AE54" s="16">
        <f t="shared" ca="1" si="65"/>
        <v>0</v>
      </c>
      <c r="AF54" s="23">
        <f ca="1">SUMIFS(INDIRECT("'"&amp;A$49&amp;" - 1040'!$N:$N"), INDIRECT("'"&amp;A$49&amp;" - 1040'!$A:$A"), "&gt;"&amp;INDEX(Console!$A$6:$E$14, MATCH($A26, Console!$A$6:$A$263, 0), MATCH(A$49, Console!$A$6:$E$6, 0)), INDIRECT("'"&amp;A$49&amp;" - 1040'!$A:$A"), IFERROR("&lt;="&amp;IF(INDEX(Console!$A$6:$E$14, MATCH($A26, Console!$A$6:$A$263, 0)+1, MATCH(A$49, Console!$A$6:$E$6, 0))=0, NA(), INDEX(Console!$A$6:$E$14, MATCH($A26, Console!$A$6:$A$263, 0)+1, MATCH(A$49, Console!$A$6:$E$6, 0))),"&gt;0"))</f>
        <v>42244572</v>
      </c>
      <c r="AG54" s="16"/>
    </row>
    <row r="55" spans="1:33" x14ac:dyDescent="0.25">
      <c r="A55" s="20">
        <f>Console!A11</f>
        <v>6.5000000000000002E-2</v>
      </c>
      <c r="B55" s="8">
        <f>Console!E11</f>
        <v>320000</v>
      </c>
      <c r="C55" s="5">
        <f ca="1">SUMIFS(INDIRECT("'"&amp;A$49&amp;" - 1040'!$G:$G"), INDIRECT("'"&amp;A$49&amp;" - 1040'!$A:$A"), "&gt;"&amp;INDEX(Console!$A$6:$E$14, MATCH($A55, Console!$A$6:$A$263, 0), MATCH(A$49, Console!$A$6:$E$6, 0)), INDIRECT("'"&amp;A$49&amp;" - 1040'!$A:$A"), IFERROR("&lt;="&amp;IF(INDEX(Console!$A$6:$E$14, MATCH($A55, Console!$A$6:$A$263, 0)+1, MATCH(A$49, Console!$A$6:$E$6, 0))=0, NA(), INDEX(Console!$A$6:$E$14, MATCH($A55, Console!$A$6:$A$263, 0)+1, MATCH(A$49, Console!$A$6:$E$6, 0))),"&gt;0"))</f>
        <v>358537716</v>
      </c>
      <c r="D55" s="5">
        <f ca="1">SUMIFS(INDIRECT("'"&amp;A$49&amp;" - 1040'!$C:$C"), INDIRECT("'"&amp;A$49&amp;" - 1040'!$A:$A"), "&gt;"&amp;INDEX(Console!$A$6:$E$14, MATCH($A27, Console!$A$6:$A$263, 0), MATCH(A$49, Console!$A$6:$E$6, 0)), INDIRECT("'"&amp;A$49&amp;" - 1040'!$A:$A"), IFERROR("&lt;="&amp;IF(INDEX(Console!$A$6:$E$14, MATCH($A27, Console!$A$6:$A$263, 0)+1, MATCH(A$49, Console!$A$6:$E$6, 0))=0, NA(), INDEX(Console!$A$6:$E$14, MATCH($A27, Console!$A$6:$A$263, 0)+1, MATCH(A$49, Console!$A$6:$E$6, 0))),"&gt;0"))</f>
        <v>1227</v>
      </c>
      <c r="E55" s="5">
        <f t="shared" ca="1" si="50"/>
        <v>292206.77750611247</v>
      </c>
      <c r="F55">
        <f ca="1">IF(E55&lt;Console!E$21, Console!E$20, MAX((Console!E$22-E55)/1000*Console!E$23, 0))</f>
        <v>0</v>
      </c>
      <c r="G55">
        <f ca="1">IF(E55&gt;Console!E$31, MIN((E55-Console!E$31)*Console!E$33/1000, Console!E$32), 0)+IF(E55&gt;Console!E$36, MIN((E55-Console!E$36)*Console!E$38/1000, Console!E$37), 0)</f>
        <v>0</v>
      </c>
      <c r="H55" s="5">
        <f t="shared" ca="1" si="51"/>
        <v>0</v>
      </c>
      <c r="I55" s="18">
        <f ca="1">IF(E55&gt;Console!E$26, IF(E55&lt;Console!E$27, (E55-Console!E$26)*Console!E$28/1000, (Console!E$27-Console!E$26)*Console!E$28/1000), 0)</f>
        <v>16000</v>
      </c>
      <c r="J55" s="5">
        <f t="shared" ca="1" si="52"/>
        <v>0</v>
      </c>
      <c r="K55" s="5">
        <f t="shared" ca="1" si="53"/>
        <v>80000</v>
      </c>
      <c r="L55" s="5">
        <f t="shared" ca="1" si="54"/>
        <v>80000</v>
      </c>
      <c r="M55" s="5">
        <f t="shared" ca="1" si="54"/>
        <v>132206.77750611247</v>
      </c>
      <c r="N55" s="5">
        <f t="shared" ca="1" si="54"/>
        <v>0</v>
      </c>
      <c r="O55" s="5">
        <f t="shared" ca="1" si="54"/>
        <v>0</v>
      </c>
      <c r="P55" s="5">
        <f t="shared" ca="1" si="54"/>
        <v>0</v>
      </c>
      <c r="Q55" s="5">
        <f t="shared" ca="1" si="54"/>
        <v>0</v>
      </c>
      <c r="R55" s="5">
        <f t="shared" ca="1" si="54"/>
        <v>0</v>
      </c>
      <c r="S55" s="5">
        <f t="shared" ca="1" si="54"/>
        <v>0</v>
      </c>
      <c r="T55" s="18">
        <f t="shared" ca="1" si="54"/>
        <v>0</v>
      </c>
      <c r="U55" s="16">
        <f t="shared" ca="1" si="55"/>
        <v>0</v>
      </c>
      <c r="V55" s="16">
        <f t="shared" ca="1" si="56"/>
        <v>0.27377872848389539</v>
      </c>
      <c r="W55" s="16">
        <f t="shared" ca="1" si="57"/>
        <v>0.27377872848389539</v>
      </c>
      <c r="X55" s="16">
        <f t="shared" ca="1" si="58"/>
        <v>0.45244254303220921</v>
      </c>
      <c r="Y55" s="16">
        <f t="shared" ca="1" si="59"/>
        <v>0</v>
      </c>
      <c r="Z55" s="16">
        <f t="shared" ca="1" si="60"/>
        <v>0</v>
      </c>
      <c r="AA55" s="16">
        <f t="shared" ca="1" si="61"/>
        <v>0</v>
      </c>
      <c r="AB55" s="16">
        <f t="shared" ca="1" si="62"/>
        <v>0</v>
      </c>
      <c r="AC55" s="16">
        <f t="shared" ca="1" si="63"/>
        <v>0</v>
      </c>
      <c r="AD55" s="16">
        <f t="shared" ca="1" si="64"/>
        <v>0</v>
      </c>
      <c r="AE55" s="16">
        <f t="shared" ca="1" si="65"/>
        <v>0</v>
      </c>
      <c r="AF55" s="23">
        <f ca="1">SUMIFS(INDIRECT("'"&amp;A$49&amp;" - 1040'!$N:$N"), INDIRECT("'"&amp;A$49&amp;" - 1040'!$A:$A"), "&gt;"&amp;INDEX(Console!$A$6:$E$14, MATCH($A27, Console!$A$6:$A$263, 0), MATCH(A$49, Console!$A$6:$E$6, 0)), INDIRECT("'"&amp;A$49&amp;" - 1040'!$A:$A"), IFERROR("&lt;="&amp;IF(INDEX(Console!$A$6:$E$14, MATCH($A27, Console!$A$6:$A$263, 0)+1, MATCH(A$49, Console!$A$6:$E$6, 0))=0, NA(), INDEX(Console!$A$6:$E$14, MATCH($A27, Console!$A$6:$A$263, 0)+1, MATCH(A$49, Console!$A$6:$E$6, 0))),"&gt;0"))</f>
        <v>16765570</v>
      </c>
      <c r="AG55" s="16"/>
    </row>
    <row r="56" spans="1:33" x14ac:dyDescent="0.25">
      <c r="A56" s="20">
        <f>Console!A12</f>
        <v>6.9000000000000006E-2</v>
      </c>
      <c r="B56" s="8">
        <f>Console!E12</f>
        <v>400000</v>
      </c>
      <c r="C56" s="5">
        <f ca="1">SUMIFS(INDIRECT("'"&amp;A$49&amp;" - 1040'!$G:$G"), INDIRECT("'"&amp;A$49&amp;" - 1040'!$A:$A"), "&gt;"&amp;INDEX(Console!$A$6:$E$14, MATCH($A56, Console!$A$6:$A$263, 0), MATCH(A$49, Console!$A$6:$E$6, 0)), INDIRECT("'"&amp;A$49&amp;" - 1040'!$A:$A"), IFERROR("&lt;="&amp;IF(INDEX(Console!$A$6:$E$14, MATCH($A56, Console!$A$6:$A$263, 0)+1, MATCH(A$49, Console!$A$6:$E$6, 0))=0, NA(), INDEX(Console!$A$6:$E$14, MATCH($A56, Console!$A$6:$A$263, 0)+1, MATCH(A$49, Console!$A$6:$E$6, 0))),"&gt;0"))</f>
        <v>301621251</v>
      </c>
      <c r="D56" s="5">
        <f ca="1">SUMIFS(INDIRECT("'"&amp;A$49&amp;" - 1040'!$C:$C"), INDIRECT("'"&amp;A$49&amp;" - 1040'!$A:$A"), "&gt;"&amp;INDEX(Console!$A$6:$E$14, MATCH($A28, Console!$A$6:$A$263, 0), MATCH(A$49, Console!$A$6:$E$6, 0)), INDIRECT("'"&amp;A$49&amp;" - 1040'!$A:$A"), IFERROR("&lt;="&amp;IF(INDEX(Console!$A$6:$E$14, MATCH($A28, Console!$A$6:$A$263, 0)+1, MATCH(A$49, Console!$A$6:$E$6, 0))=0, NA(), INDEX(Console!$A$6:$E$14, MATCH($A28, Console!$A$6:$A$263, 0)+1, MATCH(A$49, Console!$A$6:$E$6, 0))),"&gt;0"))</f>
        <v>727</v>
      </c>
      <c r="E56" s="5">
        <f t="shared" ca="1" si="50"/>
        <v>414884.80192572216</v>
      </c>
      <c r="F56">
        <f ca="1">IF(E56&lt;Console!E$21, Console!E$20, MAX((Console!E$22-E56)/1000*Console!E$23, 0))</f>
        <v>0</v>
      </c>
      <c r="G56">
        <f ca="1">IF(E56&gt;Console!E$31, MIN((E56-Console!E$31)*Console!E$33/1000, Console!E$32), 0)+IF(E56&gt;Console!E$36, MIN((E56-Console!E$36)*Console!E$38/1000, Console!E$37), 0)</f>
        <v>1660.4840337001378</v>
      </c>
      <c r="H56" s="5">
        <f t="shared" ca="1" si="51"/>
        <v>1207171.8925000003</v>
      </c>
      <c r="I56" s="18">
        <f ca="1">IF(E56&gt;Console!E$26, IF(E56&lt;Console!E$27, (E56-Console!E$26)*Console!E$28/1000, (Console!E$27-Console!E$26)*Console!E$28/1000), 0)</f>
        <v>16000</v>
      </c>
      <c r="J56" s="5">
        <f t="shared" ca="1" si="52"/>
        <v>0</v>
      </c>
      <c r="K56" s="5">
        <f t="shared" ca="1" si="53"/>
        <v>80000</v>
      </c>
      <c r="L56" s="5">
        <f t="shared" ca="1" si="54"/>
        <v>80000</v>
      </c>
      <c r="M56" s="5">
        <f t="shared" ca="1" si="54"/>
        <v>160000</v>
      </c>
      <c r="N56" s="5">
        <f t="shared" ca="1" si="54"/>
        <v>80000</v>
      </c>
      <c r="O56" s="5">
        <f t="shared" ca="1" si="54"/>
        <v>14884.80192572216</v>
      </c>
      <c r="P56" s="5">
        <f t="shared" ca="1" si="54"/>
        <v>0</v>
      </c>
      <c r="Q56" s="5">
        <f t="shared" ca="1" si="54"/>
        <v>0</v>
      </c>
      <c r="R56" s="5">
        <f t="shared" ca="1" si="54"/>
        <v>0</v>
      </c>
      <c r="S56" s="5">
        <f t="shared" ca="1" si="54"/>
        <v>0</v>
      </c>
      <c r="T56" s="18">
        <f t="shared" ca="1" si="54"/>
        <v>0</v>
      </c>
      <c r="U56" s="16">
        <f t="shared" ca="1" si="55"/>
        <v>0</v>
      </c>
      <c r="V56" s="16">
        <f t="shared" ca="1" si="56"/>
        <v>0.19282460969568752</v>
      </c>
      <c r="W56" s="16">
        <f t="shared" ca="1" si="57"/>
        <v>0.19282460969568752</v>
      </c>
      <c r="X56" s="16">
        <f t="shared" ca="1" si="58"/>
        <v>0.38564921939137503</v>
      </c>
      <c r="Y56" s="16">
        <f t="shared" ca="1" si="59"/>
        <v>0.19282460969568752</v>
      </c>
      <c r="Z56" s="16">
        <f t="shared" ca="1" si="60"/>
        <v>3.5876951521562415E-2</v>
      </c>
      <c r="AA56" s="16">
        <f t="shared" ca="1" si="61"/>
        <v>0</v>
      </c>
      <c r="AB56" s="16">
        <f t="shared" ca="1" si="62"/>
        <v>0</v>
      </c>
      <c r="AC56" s="16">
        <f t="shared" ca="1" si="63"/>
        <v>0</v>
      </c>
      <c r="AD56" s="16">
        <f t="shared" ca="1" si="64"/>
        <v>0</v>
      </c>
      <c r="AE56" s="16">
        <f t="shared" ca="1" si="65"/>
        <v>0</v>
      </c>
      <c r="AF56" s="23">
        <f ca="1">SUMIFS(INDIRECT("'"&amp;A$49&amp;" - 1040'!$N:$N"), INDIRECT("'"&amp;A$49&amp;" - 1040'!$A:$A"), "&gt;"&amp;INDEX(Console!$A$6:$E$14, MATCH($A28, Console!$A$6:$A$263, 0), MATCH(A$49, Console!$A$6:$E$6, 0)), INDIRECT("'"&amp;A$49&amp;" - 1040'!$A:$A"), IFERROR("&lt;="&amp;IF(INDEX(Console!$A$6:$E$14, MATCH($A28, Console!$A$6:$A$263, 0)+1, MATCH(A$49, Console!$A$6:$E$6, 0))=0, NA(), INDEX(Console!$A$6:$E$14, MATCH($A28, Console!$A$6:$A$263, 0)+1, MATCH(A$49, Console!$A$6:$E$6, 0))),"&gt;0"))</f>
        <v>15370724</v>
      </c>
      <c r="AG56" s="16"/>
    </row>
    <row r="57" spans="1:33" x14ac:dyDescent="0.25">
      <c r="A57" s="20">
        <f>Console!A13</f>
        <v>6.9900000000000004E-2</v>
      </c>
      <c r="B57" s="8">
        <f>Console!E13</f>
        <v>800000</v>
      </c>
      <c r="C57" s="5">
        <f ca="1">SUMIFS(INDIRECT("'"&amp;A$49&amp;" - 1040'!$G:$G"), INDIRECT("'"&amp;A$49&amp;" - 1040'!$A:$A"), "&gt;"&amp;INDEX(Console!$A$6:$E$14, MATCH($A57, Console!$A$6:$A$263, 0), MATCH(A$49, Console!$A$6:$E$6, 0)), INDIRECT("'"&amp;A$49&amp;" - 1040'!$A:$A"), IFERROR("&lt;="&amp;IF(INDEX(Console!$A$6:$E$14, MATCH($A57, Console!$A$6:$A$263, 0)+1, MATCH(A$49, Console!$A$6:$E$6, 0))=0, NA(), INDEX(Console!$A$6:$E$14, MATCH($A57, Console!$A$6:$A$263, 0)+1, MATCH(A$49, Console!$A$6:$E$6, 0))),"&gt;0"))</f>
        <v>1216839785</v>
      </c>
      <c r="D57" s="5">
        <f ca="1">SUMIFS(INDIRECT("'"&amp;A$49&amp;" - 1040'!$C:$C"), INDIRECT("'"&amp;A$49&amp;" - 1040'!$A:$A"), "&gt;"&amp;INDEX(Console!$A$6:$E$14, MATCH($A29, Console!$A$6:$A$263, 0), MATCH(A$49, Console!$A$6:$E$6, 0)), INDIRECT("'"&amp;A$49&amp;" - 1040'!$A:$A"), IFERROR("&lt;="&amp;IF(INDEX(Console!$A$6:$E$14, MATCH($A29, Console!$A$6:$A$263, 0)+1, MATCH(A$49, Console!$A$6:$E$6, 0))=0, NA(), INDEX(Console!$A$6:$E$14, MATCH($A29, Console!$A$6:$A$263, 0)+1, MATCH(A$49, Console!$A$6:$E$6, 0))),"&gt;0"))</f>
        <v>911</v>
      </c>
      <c r="E57" s="5">
        <f t="shared" ca="1" si="50"/>
        <v>1335718.7541163557</v>
      </c>
      <c r="F57">
        <f ca="1">IF(E57&lt;Console!E$21, Console!E$20, MAX((Console!E$22-E57)/1000*Console!E$23, 0))</f>
        <v>0</v>
      </c>
      <c r="G57">
        <f ca="1">IF(E57&gt;Console!E$31, MIN((E57-Console!E$31)*Console!E$33/1000, Console!E$32), 0)+IF(E57&gt;Console!E$36, MIN((E57-Console!E$36)*Console!E$38/1000, Console!E$37), 0)</f>
        <v>4920</v>
      </c>
      <c r="H57" s="5">
        <f t="shared" ca="1" si="51"/>
        <v>4482120</v>
      </c>
      <c r="I57" s="18">
        <f ca="1">IF(E57&gt;Console!E$26, IF(E57&lt;Console!E$27, (E57-Console!E$26)*Console!E$28/1000, (Console!E$27-Console!E$26)*Console!E$28/1000), 0)</f>
        <v>16000</v>
      </c>
      <c r="J57" s="5">
        <f t="shared" ca="1" si="52"/>
        <v>0</v>
      </c>
      <c r="K57" s="5">
        <f t="shared" ca="1" si="53"/>
        <v>80000</v>
      </c>
      <c r="L57" s="5">
        <f t="shared" ca="1" si="54"/>
        <v>80000</v>
      </c>
      <c r="M57" s="5">
        <f t="shared" ca="1" si="54"/>
        <v>160000</v>
      </c>
      <c r="N57" s="5">
        <f t="shared" ca="1" si="54"/>
        <v>80000</v>
      </c>
      <c r="O57" s="5">
        <f t="shared" ca="1" si="54"/>
        <v>400000</v>
      </c>
      <c r="P57" s="5">
        <f t="shared" ca="1" si="54"/>
        <v>535718.75411635567</v>
      </c>
      <c r="Q57" s="5">
        <f t="shared" ca="1" si="54"/>
        <v>0</v>
      </c>
      <c r="R57" s="5">
        <f t="shared" ca="1" si="54"/>
        <v>0</v>
      </c>
      <c r="S57" s="5">
        <f t="shared" ca="1" si="54"/>
        <v>0</v>
      </c>
      <c r="T57" s="18">
        <f t="shared" ca="1" si="54"/>
        <v>0</v>
      </c>
      <c r="U57" s="16">
        <f t="shared" ca="1" si="55"/>
        <v>0</v>
      </c>
      <c r="V57" s="16">
        <f t="shared" ca="1" si="56"/>
        <v>5.9892847767136409E-2</v>
      </c>
      <c r="W57" s="16">
        <f t="shared" ca="1" si="57"/>
        <v>5.9892847767136409E-2</v>
      </c>
      <c r="X57" s="16">
        <f t="shared" ca="1" si="58"/>
        <v>0.11978569553427282</v>
      </c>
      <c r="Y57" s="16">
        <f t="shared" ca="1" si="59"/>
        <v>5.9892847767136409E-2</v>
      </c>
      <c r="Z57" s="16">
        <f t="shared" ca="1" si="60"/>
        <v>0.29946423883568207</v>
      </c>
      <c r="AA57" s="16">
        <f t="shared" ca="1" si="61"/>
        <v>0.40107152232863591</v>
      </c>
      <c r="AB57" s="16">
        <f t="shared" ca="1" si="62"/>
        <v>0</v>
      </c>
      <c r="AC57" s="16">
        <f t="shared" ca="1" si="63"/>
        <v>0</v>
      </c>
      <c r="AD57" s="16">
        <f t="shared" ca="1" si="64"/>
        <v>0</v>
      </c>
      <c r="AE57" s="16">
        <f t="shared" ca="1" si="65"/>
        <v>0</v>
      </c>
      <c r="AF57" s="23">
        <f ca="1">SUMIFS(INDIRECT("'"&amp;A$49&amp;" - 1040'!$N:$N"), INDIRECT("'"&amp;A$49&amp;" - 1040'!$A:$A"), "&gt;"&amp;INDEX(Console!$A$6:$E$14, MATCH($A29, Console!$A$6:$A$263, 0), MATCH(A$49, Console!$A$6:$E$6, 0)), INDIRECT("'"&amp;A$49&amp;" - 1040'!$A:$A"), IFERROR("&lt;="&amp;IF(INDEX(Console!$A$6:$E$14, MATCH($A29, Console!$A$6:$A$263, 0)+1, MATCH(A$49, Console!$A$6:$E$6, 0))=0, NA(), INDEX(Console!$A$6:$E$14, MATCH($A29, Console!$A$6:$A$263, 0)+1, MATCH(A$49, Console!$A$6:$E$6, 0))),"&gt;0"))</f>
        <v>60351558</v>
      </c>
      <c r="AG57" s="16"/>
    </row>
    <row r="58" spans="1:33" x14ac:dyDescent="0.25">
      <c r="A58" s="20">
        <f>Console!A14</f>
        <v>0</v>
      </c>
      <c r="B58" s="8">
        <f>Console!E14</f>
        <v>0</v>
      </c>
      <c r="C58" s="5">
        <f ca="1">SUMIFS(INDIRECT("'"&amp;A$49&amp;" - 1040'!$G:$G"), INDIRECT("'"&amp;A$49&amp;" - 1040'!$A:$A"), "&gt;"&amp;INDEX(Console!$A$6:$E$14, MATCH($A58, Console!$A$6:$A$263, 0), MATCH(A$49, Console!$A$6:$E$6, 0)), INDIRECT("'"&amp;A$49&amp;" - 1040'!$A:$A"), IFERROR("&lt;="&amp;IF(INDEX(Console!$A$6:$E$14, MATCH($A58, Console!$A$6:$A$263, 0)+1, MATCH(A$49, Console!$A$6:$E$6, 0))=0, NA(), INDEX(Console!$A$6:$E$14, MATCH($A58, Console!$A$6:$A$263, 0)+1, MATCH(A$49, Console!$A$6:$E$6, 0))),"&gt;0"))</f>
        <v>0</v>
      </c>
      <c r="D58" s="5">
        <f ca="1">SUMIFS(INDIRECT("'"&amp;A$49&amp;" - 1040'!$C:$C"), INDIRECT("'"&amp;A$49&amp;" - 1040'!$A:$A"), "&gt;"&amp;INDEX(Console!$A$6:$E$14, MATCH($A30, Console!$A$6:$A$263, 0), MATCH(A$49, Console!$A$6:$E$6, 0)), INDIRECT("'"&amp;A$49&amp;" - 1040'!$A:$A"), IFERROR("&lt;="&amp;IF(INDEX(Console!$A$6:$E$14, MATCH($A30, Console!$A$6:$A$263, 0)+1, MATCH(A$49, Console!$A$6:$E$6, 0))=0, NA(), INDEX(Console!$A$6:$E$14, MATCH($A30, Console!$A$6:$A$263, 0)+1, MATCH(A$49, Console!$A$6:$E$6, 0))),"&gt;0"))</f>
        <v>0</v>
      </c>
      <c r="E58" s="5">
        <f t="shared" ca="1" si="50"/>
        <v>0</v>
      </c>
      <c r="F58">
        <f ca="1">IF(E58&lt;Console!E$21, Console!E$20, MAX((Console!E$22-E58)/1000*Console!E$23, 0))</f>
        <v>19000</v>
      </c>
      <c r="G58">
        <f ca="1">IF(E58&gt;Console!E$31, MIN((E58-Console!E$31)*Console!E$33/1000, Console!E$32), 0)+IF(E58&gt;Console!E$36, MIN((E58-Console!E$36)*Console!E$38/1000, Console!E$37), 0)</f>
        <v>0</v>
      </c>
      <c r="H58" s="5">
        <f t="shared" ca="1" si="51"/>
        <v>0</v>
      </c>
      <c r="I58" s="18">
        <f ca="1">IF(E58&gt;Console!E$26, IF(E58&lt;Console!E$27, (E58-Console!E$26)*Console!E$28/1000, (Console!E$27-Console!E$26)*Console!E$28/1000), 0)</f>
        <v>0</v>
      </c>
      <c r="J58" s="5">
        <f t="shared" ca="1" si="52"/>
        <v>0</v>
      </c>
      <c r="K58" s="5">
        <f t="shared" ca="1" si="53"/>
        <v>0</v>
      </c>
      <c r="L58" s="5">
        <f t="shared" ca="1" si="54"/>
        <v>0</v>
      </c>
      <c r="M58" s="5">
        <f t="shared" ca="1" si="54"/>
        <v>0</v>
      </c>
      <c r="N58" s="5">
        <f t="shared" ca="1" si="54"/>
        <v>0</v>
      </c>
      <c r="O58" s="5">
        <f t="shared" ca="1" si="54"/>
        <v>0</v>
      </c>
      <c r="P58" s="5">
        <f t="shared" ca="1" si="54"/>
        <v>0</v>
      </c>
      <c r="Q58" s="5">
        <f t="shared" ca="1" si="54"/>
        <v>0</v>
      </c>
      <c r="R58" s="5">
        <f t="shared" ca="1" si="54"/>
        <v>0</v>
      </c>
      <c r="S58" s="5">
        <f t="shared" ca="1" si="54"/>
        <v>0</v>
      </c>
      <c r="T58" s="18">
        <f t="shared" ca="1" si="54"/>
        <v>0</v>
      </c>
      <c r="U58" s="16">
        <f t="shared" ca="1" si="55"/>
        <v>1</v>
      </c>
      <c r="V58" s="16">
        <f t="shared" ca="1" si="56"/>
        <v>0</v>
      </c>
      <c r="W58" s="16">
        <f t="shared" ca="1" si="57"/>
        <v>0</v>
      </c>
      <c r="X58" s="16">
        <f t="shared" ca="1" si="58"/>
        <v>0</v>
      </c>
      <c r="Y58" s="16">
        <f t="shared" ca="1" si="59"/>
        <v>0</v>
      </c>
      <c r="Z58" s="16">
        <f t="shared" ca="1" si="60"/>
        <v>0</v>
      </c>
      <c r="AA58" s="16">
        <f t="shared" ca="1" si="61"/>
        <v>0</v>
      </c>
      <c r="AB58" s="16">
        <f t="shared" ca="1" si="62"/>
        <v>0</v>
      </c>
      <c r="AC58" s="16">
        <f t="shared" ca="1" si="63"/>
        <v>0</v>
      </c>
      <c r="AD58" s="16">
        <f t="shared" ca="1" si="64"/>
        <v>0</v>
      </c>
      <c r="AE58" s="16">
        <f t="shared" ca="1" si="65"/>
        <v>0</v>
      </c>
      <c r="AF58" s="23">
        <f ca="1">SUMIFS(INDIRECT("'"&amp;A$49&amp;" - 1040'!$N:$N"), INDIRECT("'"&amp;A$49&amp;" - 1040'!$A:$A"), "&gt;"&amp;INDEX(Console!$A$6:$E$14, MATCH($A30, Console!$A$6:$A$263, 0), MATCH(A$49, Console!$A$6:$E$6, 0)), INDIRECT("'"&amp;A$49&amp;" - 1040'!$A:$A"), IFERROR("&lt;="&amp;IF(INDEX(Console!$A$6:$E$14, MATCH($A30, Console!$A$6:$A$263, 0)+1, MATCH(A$49, Console!$A$6:$E$6, 0))=0, NA(), INDEX(Console!$A$6:$E$14, MATCH($A30, Console!$A$6:$A$263, 0)+1, MATCH(A$49, Console!$A$6:$E$6, 0))),"&gt;0"))</f>
        <v>0</v>
      </c>
      <c r="AG58" s="16"/>
    </row>
    <row r="59" spans="1:33" x14ac:dyDescent="0.25">
      <c r="A59" s="20">
        <f>Console!A15</f>
        <v>0</v>
      </c>
      <c r="B59" s="8">
        <f>Console!E15</f>
        <v>0</v>
      </c>
      <c r="C59" s="5">
        <f ca="1">SUMIFS(INDIRECT("'"&amp;A$49&amp;" - 1040'!$G:$G"), INDIRECT("'"&amp;A$49&amp;" - 1040'!$A:$A"), "&gt;"&amp;INDEX(Console!$A$6:$E$14, MATCH($A59, Console!$A$6:$A$263, 0), MATCH(A$49, Console!$A$6:$E$6, 0)), INDIRECT("'"&amp;A$49&amp;" - 1040'!$A:$A"), IFERROR("&lt;="&amp;IF(INDEX(Console!$A$6:$E$14, MATCH($A59, Console!$A$6:$A$263, 0)+1, MATCH(A$49, Console!$A$6:$E$6, 0))=0, NA(), INDEX(Console!$A$6:$E$14, MATCH($A59, Console!$A$6:$A$263, 0)+1, MATCH(A$49, Console!$A$6:$E$6, 0))),"&gt;0"))</f>
        <v>0</v>
      </c>
      <c r="D59" s="5">
        <f ca="1">SUMIFS(INDIRECT("'"&amp;A$49&amp;" - 1040'!$C:$C"), INDIRECT("'"&amp;A$49&amp;" - 1040'!$A:$A"), "&gt;"&amp;INDEX(Console!$A$6:$E$14, MATCH($A31, Console!$A$6:$A$263, 0), MATCH(A$49, Console!$A$6:$E$6, 0)), INDIRECT("'"&amp;A$49&amp;" - 1040'!$A:$A"), IFERROR("&lt;="&amp;IF(INDEX(Console!$A$6:$E$14, MATCH($A31, Console!$A$6:$A$263, 0)+1, MATCH(A$49, Console!$A$6:$E$6, 0))=0, NA(), INDEX(Console!$A$6:$E$14, MATCH($A31, Console!$A$6:$A$263, 0)+1, MATCH(A$49, Console!$A$6:$E$6, 0))),"&gt;0"))</f>
        <v>0</v>
      </c>
      <c r="E59" s="5">
        <f t="shared" ca="1" si="50"/>
        <v>0</v>
      </c>
      <c r="F59">
        <f ca="1">IF(E59&lt;Console!E$21, Console!E$20, MAX((Console!E$22-E59)/1000*Console!E$23, 0))</f>
        <v>19000</v>
      </c>
      <c r="G59">
        <f ca="1">IF(E59&gt;Console!E$31, MIN((E59-Console!E$31)*Console!E$33/1000, Console!E$32), 0)+IF(E59&gt;Console!E$36, MIN((E59-Console!E$36)*Console!E$38/1000, Console!E$37), 0)</f>
        <v>0</v>
      </c>
      <c r="H59" s="5">
        <f t="shared" ca="1" si="51"/>
        <v>0</v>
      </c>
      <c r="I59" s="18">
        <f ca="1">IF(E59&gt;Console!E$26, IF(E59&lt;Console!E$27, (E59-Console!E$26)*Console!E$28/1000, (Console!E$27-Console!E$26)*Console!E$28/1000), 0)</f>
        <v>0</v>
      </c>
      <c r="J59" s="5">
        <f t="shared" ca="1" si="52"/>
        <v>0</v>
      </c>
      <c r="K59" s="5">
        <f t="shared" ca="1" si="53"/>
        <v>0</v>
      </c>
      <c r="L59" s="5">
        <f t="shared" ca="1" si="54"/>
        <v>0</v>
      </c>
      <c r="M59" s="5">
        <f t="shared" ca="1" si="54"/>
        <v>0</v>
      </c>
      <c r="N59" s="5">
        <f t="shared" ca="1" si="54"/>
        <v>0</v>
      </c>
      <c r="O59" s="5">
        <f t="shared" ca="1" si="54"/>
        <v>0</v>
      </c>
      <c r="P59" s="5">
        <f t="shared" ca="1" si="54"/>
        <v>0</v>
      </c>
      <c r="Q59" s="5">
        <f t="shared" ca="1" si="54"/>
        <v>0</v>
      </c>
      <c r="R59" s="5">
        <f t="shared" ca="1" si="54"/>
        <v>0</v>
      </c>
      <c r="S59" s="5">
        <f t="shared" ca="1" si="54"/>
        <v>0</v>
      </c>
      <c r="T59" s="18">
        <f t="shared" ca="1" si="54"/>
        <v>0</v>
      </c>
      <c r="U59" s="16">
        <f t="shared" ca="1" si="55"/>
        <v>1</v>
      </c>
      <c r="V59" s="16">
        <f t="shared" ca="1" si="56"/>
        <v>0</v>
      </c>
      <c r="W59" s="16">
        <f t="shared" ca="1" si="57"/>
        <v>0</v>
      </c>
      <c r="X59" s="16">
        <f t="shared" ca="1" si="58"/>
        <v>0</v>
      </c>
      <c r="Y59" s="16">
        <f t="shared" ca="1" si="59"/>
        <v>0</v>
      </c>
      <c r="Z59" s="16">
        <f t="shared" ca="1" si="60"/>
        <v>0</v>
      </c>
      <c r="AA59" s="16">
        <f t="shared" ca="1" si="61"/>
        <v>0</v>
      </c>
      <c r="AB59" s="16">
        <f t="shared" ca="1" si="62"/>
        <v>0</v>
      </c>
      <c r="AC59" s="16">
        <f t="shared" ca="1" si="63"/>
        <v>0</v>
      </c>
      <c r="AD59" s="16">
        <f t="shared" ca="1" si="64"/>
        <v>0</v>
      </c>
      <c r="AE59" s="16">
        <f t="shared" ca="1" si="65"/>
        <v>0</v>
      </c>
      <c r="AF59" s="23">
        <f ca="1">SUMIFS(INDIRECT("'"&amp;A$49&amp;" - 1040'!$N:$N"), INDIRECT("'"&amp;A$49&amp;" - 1040'!$A:$A"), "&gt;"&amp;INDEX(Console!$A$6:$E$14, MATCH($A31, Console!$A$6:$A$263, 0), MATCH(A$49, Console!$A$6:$E$6, 0)), INDIRECT("'"&amp;A$49&amp;" - 1040'!$A:$A"), IFERROR("&lt;="&amp;IF(INDEX(Console!$A$6:$E$14, MATCH($A31, Console!$A$6:$A$263, 0)+1, MATCH(A$49, Console!$A$6:$E$6, 0))=0, NA(), INDEX(Console!$A$6:$E$14, MATCH($A31, Console!$A$6:$A$263, 0)+1, MATCH(A$49, Console!$A$6:$E$6, 0))),"&gt;0"))</f>
        <v>0</v>
      </c>
      <c r="AG59" s="16"/>
    </row>
    <row r="60" spans="1:33" x14ac:dyDescent="0.25">
      <c r="A60" s="20">
        <f>Console!A16</f>
        <v>0</v>
      </c>
      <c r="B60" s="8">
        <f>Console!E16</f>
        <v>0</v>
      </c>
      <c r="C60" s="5">
        <f ca="1">SUMIFS(INDIRECT("'"&amp;A$49&amp;" - 1040'!$G:$G"), INDIRECT("'"&amp;A$49&amp;" - 1040'!$A:$A"), "&gt;"&amp;INDEX(Console!$A$6:$E$14, MATCH($A60, Console!$A$6:$A$263, 0), MATCH(A$49, Console!$A$6:$E$6, 0)), INDIRECT("'"&amp;A$49&amp;" - 1040'!$A:$A"), IFERROR("&lt;="&amp;IF(INDEX(Console!$A$6:$E$14, MATCH($A60, Console!$A$6:$A$263, 0)+1, MATCH(A$49, Console!$A$6:$E$6, 0))=0, NA(), INDEX(Console!$A$6:$E$14, MATCH($A60, Console!$A$6:$A$263, 0)+1, MATCH(A$49, Console!$A$6:$E$6, 0))),"&gt;0"))</f>
        <v>0</v>
      </c>
      <c r="D60" s="5">
        <f ca="1">SUMIFS(INDIRECT("'"&amp;A$49&amp;" - 1040'!$C:$C"), INDIRECT("'"&amp;A$49&amp;" - 1040'!$A:$A"), "&gt;"&amp;INDEX(Console!$A$6:$E$14, MATCH($A32, Console!$A$6:$A$263, 0), MATCH(A$49, Console!$A$6:$E$6, 0)), INDIRECT("'"&amp;A$49&amp;" - 1040'!$A:$A"), IFERROR("&lt;="&amp;IF(INDEX(Console!$A$6:$E$14, MATCH($A32, Console!$A$6:$A$263, 0)+1, MATCH(A$49, Console!$A$6:$E$6, 0))=0, NA(), INDEX(Console!$A$6:$E$14, MATCH($A32, Console!$A$6:$A$263, 0)+1, MATCH(A$49, Console!$A$6:$E$6, 0))),"&gt;0"))</f>
        <v>0</v>
      </c>
      <c r="E60" s="5">
        <f t="shared" ca="1" si="50"/>
        <v>0</v>
      </c>
      <c r="F60">
        <f ca="1">IF(E60&lt;Console!E$21, Console!E$20, MAX((Console!E$22-E60)/1000*Console!E$23, 0))</f>
        <v>19000</v>
      </c>
      <c r="G60">
        <f ca="1">IF(E60&gt;Console!E$31, MIN((E60-Console!E$31)*Console!E$33/1000, Console!E$32), 0)+IF(E60&gt;Console!E$36, MIN((E60-Console!E$36)*Console!E$38/1000, Console!E$37), 0)</f>
        <v>0</v>
      </c>
      <c r="H60" s="5">
        <f t="shared" ca="1" si="51"/>
        <v>0</v>
      </c>
      <c r="I60" s="18">
        <f ca="1">IF(E60&gt;Console!E$26, IF(E60&lt;Console!E$27, (E60-Console!E$26)*Console!E$28/1000, (Console!E$27-Console!E$26)*Console!E$28/1000), 0)</f>
        <v>0</v>
      </c>
      <c r="J60" s="5">
        <f t="shared" ca="1" si="52"/>
        <v>0</v>
      </c>
      <c r="K60" s="5">
        <f t="shared" ca="1" si="53"/>
        <v>0</v>
      </c>
      <c r="L60" s="5">
        <f t="shared" ca="1" si="54"/>
        <v>0</v>
      </c>
      <c r="M60" s="5">
        <f t="shared" ca="1" si="54"/>
        <v>0</v>
      </c>
      <c r="N60" s="5">
        <f t="shared" ca="1" si="54"/>
        <v>0</v>
      </c>
      <c r="O60" s="5">
        <f t="shared" ca="1" si="54"/>
        <v>0</v>
      </c>
      <c r="P60" s="5">
        <f t="shared" ca="1" si="54"/>
        <v>0</v>
      </c>
      <c r="Q60" s="5">
        <f t="shared" ca="1" si="54"/>
        <v>0</v>
      </c>
      <c r="R60" s="5">
        <f t="shared" ca="1" si="54"/>
        <v>0</v>
      </c>
      <c r="S60" s="5">
        <f t="shared" ca="1" si="54"/>
        <v>0</v>
      </c>
      <c r="T60" s="18">
        <f t="shared" ca="1" si="54"/>
        <v>0</v>
      </c>
      <c r="U60" s="16">
        <f t="shared" ca="1" si="55"/>
        <v>1</v>
      </c>
      <c r="V60" s="16">
        <f t="shared" ca="1" si="56"/>
        <v>0</v>
      </c>
      <c r="W60" s="16">
        <f t="shared" ca="1" si="57"/>
        <v>0</v>
      </c>
      <c r="X60" s="16">
        <f t="shared" ca="1" si="58"/>
        <v>0</v>
      </c>
      <c r="Y60" s="16">
        <f t="shared" ca="1" si="59"/>
        <v>0</v>
      </c>
      <c r="Z60" s="16">
        <f t="shared" ca="1" si="60"/>
        <v>0</v>
      </c>
      <c r="AA60" s="16">
        <f t="shared" ca="1" si="61"/>
        <v>0</v>
      </c>
      <c r="AB60" s="16">
        <f t="shared" ca="1" si="62"/>
        <v>0</v>
      </c>
      <c r="AC60" s="16">
        <f t="shared" ca="1" si="63"/>
        <v>0</v>
      </c>
      <c r="AD60" s="16">
        <f t="shared" ca="1" si="64"/>
        <v>0</v>
      </c>
      <c r="AE60" s="16">
        <f t="shared" ca="1" si="65"/>
        <v>0</v>
      </c>
      <c r="AF60" s="23">
        <f ca="1">SUMIFS(INDIRECT("'"&amp;A$49&amp;" - 1040'!$N:$N"), INDIRECT("'"&amp;A$49&amp;" - 1040'!$A:$A"), "&gt;"&amp;INDEX(Console!$A$6:$E$14, MATCH($A32, Console!$A$6:$A$263, 0), MATCH(A$49, Console!$A$6:$E$6, 0)), INDIRECT("'"&amp;A$49&amp;" - 1040'!$A:$A"), IFERROR("&lt;="&amp;IF(INDEX(Console!$A$6:$E$14, MATCH($A32, Console!$A$6:$A$263, 0)+1, MATCH(A$49, Console!$A$6:$E$6, 0))=0, NA(), INDEX(Console!$A$6:$E$14, MATCH($A32, Console!$A$6:$A$263, 0)+1, MATCH(A$49, Console!$A$6:$E$6, 0))),"&gt;0"))</f>
        <v>0</v>
      </c>
      <c r="AG60" s="16"/>
    </row>
    <row r="61" spans="1:33" x14ac:dyDescent="0.25">
      <c r="A61" s="20">
        <f>Console!A17</f>
        <v>0</v>
      </c>
      <c r="B61" s="8">
        <f>Console!E17</f>
        <v>0</v>
      </c>
      <c r="C61" s="5">
        <f ca="1">SUMIFS(INDIRECT("'"&amp;A$49&amp;" - 1040'!$G:$G"), INDIRECT("'"&amp;A$49&amp;" - 1040'!$A:$A"), "&gt;"&amp;INDEX(Console!$A$6:$E$14, MATCH($A61, Console!$A$6:$A$263, 0), MATCH(A$49, Console!$A$6:$E$6, 0)), INDIRECT("'"&amp;A$49&amp;" - 1040'!$A:$A"), IFERROR("&lt;="&amp;IF(INDEX(Console!$A$6:$E$14, MATCH($A61, Console!$A$6:$A$263, 0)+1, MATCH(A$49, Console!$A$6:$E$6, 0))=0, NA(), INDEX(Console!$A$6:$E$14, MATCH($A61, Console!$A$6:$A$263, 0)+1, MATCH(A$49, Console!$A$6:$E$6, 0))),"&gt;0"))</f>
        <v>0</v>
      </c>
      <c r="D61" s="5">
        <f ca="1">SUMIFS(INDIRECT("'"&amp;A$49&amp;" - 1040'!$C:$C"), INDIRECT("'"&amp;A$49&amp;" - 1040'!$A:$A"), "&gt;"&amp;INDEX(Console!$A$6:$E$14, MATCH($A33, Console!$A$6:$A$263, 0), MATCH(A$49, Console!$A$6:$E$6, 0)), INDIRECT("'"&amp;A$49&amp;" - 1040'!$A:$A"), IFERROR("&lt;="&amp;IF(INDEX(Console!$A$6:$E$14, MATCH($A33, Console!$A$6:$A$263, 0)+1, MATCH(A$49, Console!$A$6:$E$6, 0))=0, NA(), INDEX(Console!$A$6:$E$14, MATCH($A33, Console!$A$6:$A$263, 0)+1, MATCH(A$49, Console!$A$6:$E$6, 0))),"&gt;0"))</f>
        <v>0</v>
      </c>
      <c r="E61" s="5">
        <f t="shared" ca="1" si="50"/>
        <v>0</v>
      </c>
      <c r="F61">
        <f ca="1">IF(E61&lt;Console!E$21, Console!E$20, MAX((Console!E$22-E61)/1000*Console!E$23, 0))</f>
        <v>19000</v>
      </c>
      <c r="G61">
        <f ca="1">IF(E61&gt;Console!E$31, MIN((E61-Console!E$31)*Console!E$33/1000, Console!E$32), 0)+IF(E61&gt;Console!E$36, MIN((E61-Console!E$36)*Console!E$38/1000, Console!E$37), 0)</f>
        <v>0</v>
      </c>
      <c r="H61" s="5">
        <f t="shared" ca="1" si="51"/>
        <v>0</v>
      </c>
      <c r="I61" s="18">
        <f ca="1">IF(E61&gt;Console!E$26, IF(E61&lt;Console!E$27, (E61-Console!E$26)*Console!E$28/1000, (Console!E$27-Console!E$26)*Console!E$28/1000), 0)</f>
        <v>0</v>
      </c>
      <c r="J61" s="5">
        <f t="shared" ca="1" si="52"/>
        <v>0</v>
      </c>
      <c r="K61" s="5">
        <f t="shared" ca="1" si="53"/>
        <v>0</v>
      </c>
      <c r="L61" s="5">
        <f t="shared" ca="1" si="54"/>
        <v>0</v>
      </c>
      <c r="M61" s="5">
        <f t="shared" ca="1" si="54"/>
        <v>0</v>
      </c>
      <c r="N61" s="5">
        <f t="shared" ca="1" si="54"/>
        <v>0</v>
      </c>
      <c r="O61" s="5">
        <f t="shared" ca="1" si="54"/>
        <v>0</v>
      </c>
      <c r="P61" s="5">
        <f t="shared" ca="1" si="54"/>
        <v>0</v>
      </c>
      <c r="Q61" s="5">
        <f t="shared" ca="1" si="54"/>
        <v>0</v>
      </c>
      <c r="R61" s="5">
        <f t="shared" ca="1" si="54"/>
        <v>0</v>
      </c>
      <c r="S61" s="5">
        <f t="shared" ca="1" si="54"/>
        <v>0</v>
      </c>
      <c r="T61" s="18">
        <f t="shared" ca="1" si="54"/>
        <v>0</v>
      </c>
      <c r="U61" s="16">
        <f t="shared" ca="1" si="55"/>
        <v>1</v>
      </c>
      <c r="V61" s="16">
        <f t="shared" ca="1" si="56"/>
        <v>0</v>
      </c>
      <c r="W61" s="16">
        <f t="shared" ca="1" si="57"/>
        <v>0</v>
      </c>
      <c r="X61" s="16">
        <f t="shared" ca="1" si="58"/>
        <v>0</v>
      </c>
      <c r="Y61" s="16">
        <f t="shared" ca="1" si="59"/>
        <v>0</v>
      </c>
      <c r="Z61" s="16">
        <f t="shared" ca="1" si="60"/>
        <v>0</v>
      </c>
      <c r="AA61" s="16">
        <f t="shared" ca="1" si="61"/>
        <v>0</v>
      </c>
      <c r="AB61" s="16">
        <f t="shared" ca="1" si="62"/>
        <v>0</v>
      </c>
      <c r="AC61" s="16">
        <f t="shared" ca="1" si="63"/>
        <v>0</v>
      </c>
      <c r="AD61" s="16">
        <f t="shared" ca="1" si="64"/>
        <v>0</v>
      </c>
      <c r="AE61" s="16">
        <f t="shared" ca="1" si="65"/>
        <v>0</v>
      </c>
      <c r="AF61" s="23">
        <f ca="1">SUMIFS(INDIRECT("'"&amp;A$49&amp;" - 1040'!$N:$N"), INDIRECT("'"&amp;A$49&amp;" - 1040'!$A:$A"), "&gt;"&amp;INDEX(Console!$A$6:$E$14, MATCH($A33, Console!$A$6:$A$263, 0), MATCH(A$49, Console!$A$6:$E$6, 0)), INDIRECT("'"&amp;A$49&amp;" - 1040'!$A:$A"), IFERROR("&lt;="&amp;IF(INDEX(Console!$A$6:$E$14, MATCH($A33, Console!$A$6:$A$263, 0)+1, MATCH(A$49, Console!$A$6:$E$6, 0))=0, NA(), INDEX(Console!$A$6:$E$14, MATCH($A33, Console!$A$6:$A$263, 0)+1, MATCH(A$49, Console!$A$6:$E$6, 0))),"&gt;0"))</f>
        <v>0</v>
      </c>
      <c r="AG61" s="16"/>
    </row>
    <row r="62" spans="1:33" x14ac:dyDescent="0.25">
      <c r="A62" s="2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9" tint="0.39997558519241921"/>
  </sheetPr>
  <dimension ref="A1:AF62"/>
  <sheetViews>
    <sheetView showGridLines="0" workbookViewId="0"/>
  </sheetViews>
  <sheetFormatPr defaultColWidth="8.7109375" defaultRowHeight="15" x14ac:dyDescent="0.25"/>
  <cols>
    <col min="1" max="1" width="15.42578125" bestFit="1" customWidth="1"/>
    <col min="3" max="3" width="13.28515625" bestFit="1" customWidth="1"/>
    <col min="4" max="4" width="12.140625" customWidth="1"/>
    <col min="6" max="6" width="23.7109375" customWidth="1"/>
    <col min="7" max="7" width="19.42578125" customWidth="1"/>
    <col min="8" max="8" width="17.42578125" customWidth="1"/>
    <col min="9" max="9" width="13.42578125" customWidth="1"/>
    <col min="10" max="10" width="14" customWidth="1"/>
    <col min="11" max="11" width="13.7109375" customWidth="1"/>
    <col min="12" max="12" width="12.7109375" customWidth="1"/>
    <col min="13" max="13" width="13.140625" customWidth="1"/>
    <col min="14" max="14" width="13.7109375" customWidth="1"/>
    <col min="15" max="15" width="14.42578125" customWidth="1"/>
    <col min="21" max="21" width="8.7109375" customWidth="1"/>
    <col min="27" max="27" width="8.7109375" customWidth="1"/>
    <col min="32" max="32" width="16.42578125" customWidth="1"/>
  </cols>
  <sheetData>
    <row r="1" spans="1:32" ht="60" x14ac:dyDescent="0.25">
      <c r="A1" s="27" t="s">
        <v>352</v>
      </c>
      <c r="B1" s="27" t="s">
        <v>410</v>
      </c>
      <c r="C1" s="27" t="s">
        <v>407</v>
      </c>
      <c r="D1" s="27" t="s">
        <v>407</v>
      </c>
      <c r="E1" s="27"/>
      <c r="F1" s="27" t="s">
        <v>411</v>
      </c>
      <c r="G1" s="27" t="s">
        <v>410</v>
      </c>
      <c r="H1" s="27"/>
      <c r="I1" s="27" t="s">
        <v>410</v>
      </c>
      <c r="J1" s="27"/>
      <c r="K1" s="27"/>
      <c r="L1" s="27"/>
      <c r="M1" s="27"/>
      <c r="N1" s="27"/>
      <c r="O1" s="27"/>
      <c r="P1" s="27"/>
      <c r="Q1" s="27"/>
      <c r="R1" s="27"/>
      <c r="S1" s="27"/>
      <c r="T1" s="27"/>
      <c r="U1" s="27"/>
      <c r="V1" s="27"/>
      <c r="W1" s="27"/>
      <c r="X1" s="27"/>
      <c r="Y1" s="27"/>
      <c r="Z1" s="27"/>
      <c r="AA1" s="27"/>
      <c r="AB1" s="27"/>
      <c r="AC1" s="27"/>
      <c r="AD1" s="27"/>
      <c r="AE1" s="27"/>
      <c r="AF1" s="27" t="s">
        <v>407</v>
      </c>
    </row>
    <row r="2" spans="1:32" x14ac:dyDescent="0.25">
      <c r="A2" s="2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32" ht="90" x14ac:dyDescent="0.25">
      <c r="A3" s="31" t="s">
        <v>353</v>
      </c>
      <c r="B3" s="32"/>
      <c r="C3" s="32" t="s">
        <v>354</v>
      </c>
      <c r="D3" s="32" t="s">
        <v>355</v>
      </c>
      <c r="E3" s="32" t="s">
        <v>357</v>
      </c>
      <c r="F3" s="34" t="s">
        <v>359</v>
      </c>
      <c r="G3" s="34" t="s">
        <v>360</v>
      </c>
      <c r="H3" s="32" t="s">
        <v>358</v>
      </c>
      <c r="I3" s="34" t="s">
        <v>361</v>
      </c>
      <c r="J3" s="34" t="s">
        <v>365</v>
      </c>
      <c r="K3" s="34" t="s">
        <v>364</v>
      </c>
      <c r="L3" s="34" t="s">
        <v>373</v>
      </c>
      <c r="M3" s="34" t="s">
        <v>374</v>
      </c>
      <c r="N3" s="34" t="s">
        <v>375</v>
      </c>
      <c r="O3" s="34" t="s">
        <v>376</v>
      </c>
      <c r="P3" s="34" t="s">
        <v>377</v>
      </c>
      <c r="Q3" s="34" t="s">
        <v>378</v>
      </c>
      <c r="R3" s="34" t="s">
        <v>378</v>
      </c>
      <c r="S3" s="34" t="s">
        <v>378</v>
      </c>
      <c r="T3" s="34" t="s">
        <v>378</v>
      </c>
      <c r="U3" s="32" t="s">
        <v>366</v>
      </c>
      <c r="V3" s="32" t="s">
        <v>367</v>
      </c>
      <c r="W3" s="32" t="s">
        <v>368</v>
      </c>
      <c r="X3" s="32" t="s">
        <v>369</v>
      </c>
      <c r="Y3" s="32" t="s">
        <v>370</v>
      </c>
      <c r="Z3" s="32" t="s">
        <v>371</v>
      </c>
      <c r="AA3" s="32" t="s">
        <v>372</v>
      </c>
      <c r="AB3" s="34" t="s">
        <v>379</v>
      </c>
      <c r="AC3" s="34" t="s">
        <v>379</v>
      </c>
      <c r="AD3" s="34" t="s">
        <v>379</v>
      </c>
      <c r="AE3" s="34" t="s">
        <v>379</v>
      </c>
      <c r="AF3" s="32" t="s">
        <v>363</v>
      </c>
    </row>
    <row r="4" spans="1:32" x14ac:dyDescent="0.25">
      <c r="A4" s="29"/>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row>
    <row r="5" spans="1:32" x14ac:dyDescent="0.25">
      <c r="A5" s="32" t="s">
        <v>356</v>
      </c>
      <c r="B5" s="32">
        <v>1</v>
      </c>
      <c r="C5" s="32">
        <f t="shared" ref="C5:AF5" si="0">B5+1</f>
        <v>2</v>
      </c>
      <c r="D5" s="32">
        <f t="shared" si="0"/>
        <v>3</v>
      </c>
      <c r="E5" s="32">
        <f t="shared" si="0"/>
        <v>4</v>
      </c>
      <c r="F5" s="32">
        <f t="shared" si="0"/>
        <v>5</v>
      </c>
      <c r="G5" s="32">
        <f t="shared" si="0"/>
        <v>6</v>
      </c>
      <c r="H5" s="32">
        <f t="shared" si="0"/>
        <v>7</v>
      </c>
      <c r="I5" s="32">
        <f t="shared" si="0"/>
        <v>8</v>
      </c>
      <c r="J5" s="32">
        <f t="shared" si="0"/>
        <v>9</v>
      </c>
      <c r="K5" s="32">
        <f t="shared" si="0"/>
        <v>10</v>
      </c>
      <c r="L5" s="32">
        <f t="shared" si="0"/>
        <v>11</v>
      </c>
      <c r="M5" s="32">
        <f t="shared" si="0"/>
        <v>12</v>
      </c>
      <c r="N5" s="32">
        <f t="shared" si="0"/>
        <v>13</v>
      </c>
      <c r="O5" s="32">
        <f t="shared" si="0"/>
        <v>14</v>
      </c>
      <c r="P5" s="32">
        <f t="shared" si="0"/>
        <v>15</v>
      </c>
      <c r="Q5" s="32">
        <f t="shared" si="0"/>
        <v>16</v>
      </c>
      <c r="R5" s="32">
        <f t="shared" si="0"/>
        <v>17</v>
      </c>
      <c r="S5" s="32">
        <f t="shared" si="0"/>
        <v>18</v>
      </c>
      <c r="T5" s="32">
        <f t="shared" si="0"/>
        <v>19</v>
      </c>
      <c r="U5" s="32">
        <f t="shared" si="0"/>
        <v>20</v>
      </c>
      <c r="V5" s="32">
        <f t="shared" si="0"/>
        <v>21</v>
      </c>
      <c r="W5" s="32">
        <f t="shared" si="0"/>
        <v>22</v>
      </c>
      <c r="X5" s="32">
        <f t="shared" si="0"/>
        <v>23</v>
      </c>
      <c r="Y5" s="32">
        <f t="shared" si="0"/>
        <v>24</v>
      </c>
      <c r="Z5" s="32">
        <f t="shared" si="0"/>
        <v>25</v>
      </c>
      <c r="AA5" s="32">
        <f t="shared" si="0"/>
        <v>26</v>
      </c>
      <c r="AB5" s="32">
        <f t="shared" si="0"/>
        <v>27</v>
      </c>
      <c r="AC5" s="32">
        <f t="shared" si="0"/>
        <v>28</v>
      </c>
      <c r="AD5" s="32">
        <f t="shared" si="0"/>
        <v>29</v>
      </c>
      <c r="AE5" s="32">
        <f t="shared" si="0"/>
        <v>30</v>
      </c>
      <c r="AF5" s="32">
        <f t="shared" si="0"/>
        <v>31</v>
      </c>
    </row>
    <row r="6" spans="1:32" x14ac:dyDescent="0.25">
      <c r="A6" s="71" t="s">
        <v>452</v>
      </c>
    </row>
    <row r="7" spans="1:32" ht="18" thickBot="1" x14ac:dyDescent="0.35">
      <c r="A7" s="72" t="s">
        <v>66</v>
      </c>
      <c r="F7" s="5"/>
      <c r="G7" s="5"/>
      <c r="H7" s="5"/>
      <c r="I7" s="5"/>
      <c r="J7" t="s">
        <v>86</v>
      </c>
      <c r="U7" t="s">
        <v>88</v>
      </c>
      <c r="AA7" t="s">
        <v>83</v>
      </c>
      <c r="AF7" t="s">
        <v>106</v>
      </c>
    </row>
    <row r="8" spans="1:32" ht="30.75" thickTop="1" x14ac:dyDescent="0.25">
      <c r="A8" s="27" t="s">
        <v>69</v>
      </c>
      <c r="B8" s="27" t="s">
        <v>85</v>
      </c>
      <c r="C8" s="27" t="s">
        <v>74</v>
      </c>
      <c r="D8" s="27" t="s">
        <v>75</v>
      </c>
      <c r="E8" s="27" t="s">
        <v>76</v>
      </c>
      <c r="F8" s="27" t="s">
        <v>77</v>
      </c>
      <c r="G8" s="27" t="s">
        <v>131</v>
      </c>
      <c r="H8" s="27" t="s">
        <v>132</v>
      </c>
      <c r="I8" s="27" t="s">
        <v>87</v>
      </c>
      <c r="J8" s="28">
        <f>A9</f>
        <v>0.03</v>
      </c>
      <c r="K8" s="28">
        <f>A10</f>
        <v>0.05</v>
      </c>
      <c r="L8" s="28">
        <f>A11</f>
        <v>5.5E-2</v>
      </c>
      <c r="M8" s="28">
        <f>A12</f>
        <v>0.06</v>
      </c>
      <c r="N8" s="28">
        <f>A13</f>
        <v>6.5000000000000002E-2</v>
      </c>
      <c r="O8" s="28">
        <f>A14</f>
        <v>6.9000000000000006E-2</v>
      </c>
      <c r="P8" s="28">
        <f>A15</f>
        <v>6.9900000000000004E-2</v>
      </c>
      <c r="Q8" s="28">
        <f>A16</f>
        <v>0</v>
      </c>
      <c r="R8" s="28">
        <f>A17</f>
        <v>0</v>
      </c>
      <c r="S8" s="28">
        <f>A18</f>
        <v>0</v>
      </c>
      <c r="T8" s="28">
        <f>A19</f>
        <v>0</v>
      </c>
      <c r="U8" s="28">
        <f t="shared" ref="U8:AE8" si="1">J8</f>
        <v>0.03</v>
      </c>
      <c r="V8" s="28">
        <f t="shared" si="1"/>
        <v>0.05</v>
      </c>
      <c r="W8" s="28">
        <f t="shared" si="1"/>
        <v>5.5E-2</v>
      </c>
      <c r="X8" s="28">
        <f t="shared" si="1"/>
        <v>0.06</v>
      </c>
      <c r="Y8" s="28">
        <f t="shared" si="1"/>
        <v>6.5000000000000002E-2</v>
      </c>
      <c r="Z8" s="28">
        <f t="shared" si="1"/>
        <v>6.9000000000000006E-2</v>
      </c>
      <c r="AA8" s="28">
        <f t="shared" si="1"/>
        <v>6.9900000000000004E-2</v>
      </c>
      <c r="AB8" s="28">
        <f t="shared" si="1"/>
        <v>0</v>
      </c>
      <c r="AC8" s="28">
        <f t="shared" si="1"/>
        <v>0</v>
      </c>
      <c r="AD8" s="28">
        <f t="shared" si="1"/>
        <v>0</v>
      </c>
      <c r="AE8" s="28">
        <f t="shared" si="1"/>
        <v>0</v>
      </c>
      <c r="AF8" s="28" t="s">
        <v>362</v>
      </c>
    </row>
    <row r="9" spans="1:32" x14ac:dyDescent="0.25">
      <c r="A9" s="19">
        <f>Console!A7</f>
        <v>0.03</v>
      </c>
      <c r="B9" s="8">
        <f>Console!B7</f>
        <v>0</v>
      </c>
      <c r="C9" s="5">
        <f ca="1">SUMIFS(INDIRECT("'"&amp;A$7&amp;" - NRPY'!$G:$G"), INDIRECT("'"&amp;A$7&amp;" - NRPY'!$A:$A"), "&gt;"&amp;INDEX(Console!$A$6:$E$14, MATCH($A9, Console!$A$6:$A$14, 0), MATCH(A$7, Console!$A$6:$E$6, 0)), INDIRECT("'"&amp;A$7&amp;" - NRPY'!$A:$A"), IFERROR("&lt;="&amp;IF(INDEX(Console!$A$6:$E$14, MATCH($A9, Console!$A$6:$A$14, 0)+1, MATCH(A$7, Console!$A$6:$E$6, 0))=0, NA(), INDEX(Console!$A$6:$E$14, MATCH($A9, Console!$A$6:$A$14, 0)+1, MATCH(A$7, Console!$A$6:$E$6, 0))),"&gt;0"))</f>
        <v>77696996</v>
      </c>
      <c r="D9" s="5">
        <f ca="1">SUMIFS(INDIRECT("'"&amp;A$7&amp;" - NRPY'!$C:$C"), INDIRECT("'"&amp;A$7&amp;" - NRPY'!$A:$A"), "&gt;"&amp;INDEX(Console!$A$6:$E$14, MATCH($A9, Console!$A$6:$A$14, 0), MATCH(A$7, Console!$A$6:$E$6, 0)), INDIRECT("'"&amp;A$7&amp;" - NRPY'!$A:$A"), IFERROR("&lt;="&amp;IF(INDEX(Console!$A$6:$E$14, MATCH($A9, Console!$A$6:$A$14, 0)+1, MATCH(A$7, Console!$A$6:$E$6, 0))=0, NA(), INDEX(Console!$A$6:$E$14, MATCH($A9, Console!$A$6:$A$14, 0)+1, MATCH(A$7, Console!$A$6:$E$6, 0))),"&gt;0"))</f>
        <v>14634</v>
      </c>
      <c r="E9" s="5">
        <f t="shared" ref="E9:E19" ca="1" si="2">IFERROR(C9/D9, 0)</f>
        <v>5309.3478201448679</v>
      </c>
      <c r="F9">
        <f ca="1">IF(E9&lt;Console!B$21, Console!B$20, MAX((Console!B$22-E9)/1000*Console!B$23, 0))</f>
        <v>15000</v>
      </c>
      <c r="G9">
        <f ca="1">IF(E9&gt;Console!B$31, MIN((E9-Console!B$31)*Console!B$33/1000, Console!B$32), 0)+IF(E9&gt;Console!B$36, MIN((E9-Console!B$36)*Console!B$38/1000, Console!B$37), 0)</f>
        <v>0</v>
      </c>
      <c r="H9" s="5">
        <f ca="1">G9*D9</f>
        <v>0</v>
      </c>
      <c r="I9" s="17">
        <f ca="1">IF(E9&gt;Console!B$26, IF(E9&lt;Console!B$27, (E9-Console!B$26)*Console!B$28/1000, (Console!B$27-Console!B$26)*Console!B$28/1000), 0)</f>
        <v>0</v>
      </c>
      <c r="J9" s="5">
        <f t="shared" ref="J9:J19" ca="1" si="3">MAX(IF(AND(($E9-$F9)&gt;INDEX($B$9:$B$19, MATCH(J$8,$A$9:$A$19, 0)+1, 0), INDEX($B$9:$B$19, MATCH(J$8,$A$9:$A$19, 0)+1, 0) - INDEX($B$9:$B$19, MATCH(J$8,$A$9:$A$19, 0), 0) &gt;= 0), INDEX($B$9:$B$19, MATCH(J$8,$A$9:$A$19, 0) +1, 0)-INDEX($B$9:$B$19, MATCH(J$8,$A$9:$A$19, 0), 0)-$I9, MAX($E9-$F9, 0) - INDEX($B$9:$B$19, MATCH(J$8,$A$9:$A$19, 0), 0)), 0)</f>
        <v>0</v>
      </c>
      <c r="K9" s="5">
        <f t="shared" ref="K9:K19" ca="1" si="4">MAX(IF(AND(($E9-$F9)&gt;INDEX($B$9:$B$19, MATCH(K$8,$A$9:$A$19, 0)+1, 0), INDEX($B$9:$B$19, MATCH(K$8,$A$9:$A$19, 0)+1, 0) - INDEX($B$9:$B$19, MATCH(K$8,$A$9:$A$19, 0), 0) &gt;= 0), INDEX($B$9:$B$19, MATCH(K$8,$A$9:$A$19, 0) +1, 0)-INDEX($B$9:$B$19, MATCH(K$8,$A$9:$A$19, 0), 0)+$I9, MAX($E9-$F9, 0) - INDEX($B$9:$B$19, MATCH(K$8,$A$9:$A$19, 0), 0)), 0)</f>
        <v>0</v>
      </c>
      <c r="L9" s="5">
        <f t="shared" ref="L9:T19" ca="1" si="5">MAX(IF(AND(($E9-$F9)&gt;INDEX($B$9:$B$19, MATCH(L$8,$A$9:$A$19, 0)+1, 0), INDEX($B$9:$B$19, MATCH(L$8,$A$9:$A$19, 0)+1, 0) - INDEX($B$9:$B$19, MATCH(L$8,$A$9:$A$19, 0), 0) &gt;= 0), INDEX($B$9:$B$19, MATCH(L$8,$A$9:$A$19, 0) +1, 0)-INDEX($B$9:$B$19, MATCH(L$8,$A$9:$A$19, 0), 0), MAX($E9-$F9, 0) - INDEX($B$9:$B$19, MATCH(L$8,$A$9:$A$19, 0), 0)), 0)</f>
        <v>0</v>
      </c>
      <c r="M9" s="5">
        <f t="shared" ca="1" si="5"/>
        <v>0</v>
      </c>
      <c r="N9" s="5">
        <f t="shared" ca="1" si="5"/>
        <v>0</v>
      </c>
      <c r="O9" s="5">
        <f t="shared" ca="1" si="5"/>
        <v>0</v>
      </c>
      <c r="P9" s="5">
        <f t="shared" ca="1" si="5"/>
        <v>0</v>
      </c>
      <c r="Q9" s="5">
        <f t="shared" ca="1" si="5"/>
        <v>0</v>
      </c>
      <c r="R9" s="5">
        <f t="shared" ca="1" si="5"/>
        <v>0</v>
      </c>
      <c r="S9" s="5">
        <f t="shared" ca="1" si="5"/>
        <v>0</v>
      </c>
      <c r="T9" s="17">
        <f t="shared" ca="1" si="5"/>
        <v>0</v>
      </c>
      <c r="U9" s="16">
        <f ca="1">IFERROR(1 - SUM(V9:AE9), 0)</f>
        <v>1</v>
      </c>
      <c r="V9" s="16">
        <f t="shared" ref="V9:AE19" ca="1" si="6">IFERROR(K9/SUM($J9:$T9), 0)</f>
        <v>0</v>
      </c>
      <c r="W9" s="16">
        <f t="shared" ca="1" si="6"/>
        <v>0</v>
      </c>
      <c r="X9" s="16">
        <f t="shared" ca="1" si="6"/>
        <v>0</v>
      </c>
      <c r="Y9" s="16">
        <f t="shared" ca="1" si="6"/>
        <v>0</v>
      </c>
      <c r="Z9" s="16">
        <f t="shared" ca="1" si="6"/>
        <v>0</v>
      </c>
      <c r="AA9" s="16">
        <f t="shared" ca="1" si="6"/>
        <v>0</v>
      </c>
      <c r="AB9" s="16">
        <f t="shared" ca="1" si="6"/>
        <v>0</v>
      </c>
      <c r="AC9" s="16">
        <f t="shared" ca="1" si="6"/>
        <v>0</v>
      </c>
      <c r="AD9" s="16">
        <f t="shared" ca="1" si="6"/>
        <v>0</v>
      </c>
      <c r="AE9" s="16">
        <f t="shared" ca="1" si="6"/>
        <v>0</v>
      </c>
      <c r="AF9" s="23">
        <f ca="1">SUMIFS(INDIRECT("'"&amp;A$7&amp;" - NRPY'!$O:$O"), INDIRECT("'"&amp;A$7&amp;" - NRPY'!$A:$A"), "&gt;"&amp;INDEX(Console!$A$6:$E$14, MATCH($A9, Console!$A$6:$A$14, 0), MATCH(A$7, Console!$A$6:$E$6, 0)), INDIRECT("'"&amp;A$7&amp;" - NRPY'!$A:$A"), IFERROR("&lt;="&amp;IF(INDEX(Console!$A$6:$E$14, MATCH($A9, Console!$A$6:$A$14, 0)+1, MATCH(A$7, Console!$A$6:$E$6, 0))=0, NA(), INDEX(Console!$A$6:$E$14, MATCH($A9, Console!$A$6:$A$14, 0)+1, MATCH(A$7, Console!$A$6:$E$6, 0))),"&gt;0"))</f>
        <v>70776</v>
      </c>
    </row>
    <row r="10" spans="1:32" x14ac:dyDescent="0.25">
      <c r="A10" s="20">
        <f>Console!A8</f>
        <v>0.05</v>
      </c>
      <c r="B10" s="8">
        <f>Console!B8</f>
        <v>10000</v>
      </c>
      <c r="C10" s="5">
        <f ca="1">SUMIFS(INDIRECT("'"&amp;A$7&amp;" - NRPY'!$G:$G"), INDIRECT("'"&amp;A$7&amp;" - NRPY'!$A:$A"), "&gt;"&amp;INDEX(Console!$A$6:$E$14, MATCH($A10, Console!$A$6:$A$14, 0), MATCH(A$7, Console!$A$6:$E$6, 0)), INDIRECT("'"&amp;A$7&amp;" - NRPY'!$A:$A"), IFERROR("&lt;="&amp;IF(INDEX(Console!$A$6:$E$14, MATCH($A10, Console!$A$6:$A$14, 0)+1, MATCH(A$7, Console!$A$6:$E$6, 0))=0, NA(), INDEX(Console!$A$6:$E$14, MATCH($A10, Console!$A$6:$A$14, 0)+1, MATCH(A$7, Console!$A$6:$E$6, 0))),"&gt;0"))</f>
        <v>1411775350</v>
      </c>
      <c r="D10" s="5">
        <f ca="1">SUMIFS(INDIRECT("'"&amp;A$7&amp;" - NRPY'!$C:$C"), INDIRECT("'"&amp;A$7&amp;" - NRPY'!$A:$A"), "&gt;"&amp;INDEX(Console!$A$6:$E$14, MATCH($A10, Console!$A$6:$A$14, 0), MATCH(A$7, Console!$A$6:$E$6, 0)), INDIRECT("'"&amp;A$7&amp;" - NRPY'!$A:$A"), IFERROR("&lt;="&amp;IF(INDEX(Console!$A$6:$E$14, MATCH($A10, Console!$A$6:$A$14, 0)+1, MATCH(A$7, Console!$A$6:$E$6, 0))=0, NA(), INDEX(Console!$A$6:$E$14, MATCH($A10, Console!$A$6:$A$14, 0)+1, MATCH(A$7, Console!$A$6:$E$6, 0))),"&gt;0"))</f>
        <v>50143</v>
      </c>
      <c r="E10" s="5">
        <f t="shared" ca="1" si="2"/>
        <v>28154.983746485053</v>
      </c>
      <c r="F10">
        <f ca="1">IF(E10&lt;Console!B$21, Console!B$20, MAX((Console!B$22-E10)/1000*Console!B$23, 0))</f>
        <v>15000</v>
      </c>
      <c r="G10">
        <f ca="1">IF(E10&gt;Console!B$31, MIN((E10-Console!B$31)*Console!B$33/1000, Console!B$32), 0)+IF(E10&gt;Console!B$36, MIN((E10-Console!B$36)*Console!B$38/1000, Console!B$37), 0)</f>
        <v>0</v>
      </c>
      <c r="H10" s="5">
        <f t="shared" ref="H10:H19" ca="1" si="7">G10*D10</f>
        <v>0</v>
      </c>
      <c r="I10" s="18">
        <f ca="1">IF(E10&gt;Console!B$26, IF(E10&lt;Console!B$27, (E10-Console!B$26)*Console!B$28/1000, (Console!B$27-Console!B$26)*Console!B$28/1000), 0)</f>
        <v>0</v>
      </c>
      <c r="J10" s="5">
        <f t="shared" ca="1" si="3"/>
        <v>10000</v>
      </c>
      <c r="K10" s="5">
        <f t="shared" ca="1" si="4"/>
        <v>3154.9837464850534</v>
      </c>
      <c r="L10" s="5">
        <f t="shared" ca="1" si="5"/>
        <v>0</v>
      </c>
      <c r="M10" s="5">
        <f t="shared" ca="1" si="5"/>
        <v>0</v>
      </c>
      <c r="N10" s="5">
        <f t="shared" ca="1" si="5"/>
        <v>0</v>
      </c>
      <c r="O10" s="5">
        <f t="shared" ca="1" si="5"/>
        <v>0</v>
      </c>
      <c r="P10" s="5">
        <f t="shared" ca="1" si="5"/>
        <v>0</v>
      </c>
      <c r="Q10" s="5">
        <f t="shared" ca="1" si="5"/>
        <v>0</v>
      </c>
      <c r="R10" s="5">
        <f t="shared" ca="1" si="5"/>
        <v>0</v>
      </c>
      <c r="S10" s="5">
        <f t="shared" ca="1" si="5"/>
        <v>0</v>
      </c>
      <c r="T10" s="18">
        <f t="shared" ca="1" si="5"/>
        <v>0</v>
      </c>
      <c r="U10" s="16">
        <f t="shared" ref="U10:U19" ca="1" si="8">IFERROR(1 - SUM(V10:AE10), 0)</f>
        <v>0.76016817600948772</v>
      </c>
      <c r="V10" s="16">
        <f t="shared" ca="1" si="6"/>
        <v>0.23983182399051231</v>
      </c>
      <c r="W10" s="16">
        <f t="shared" ca="1" si="6"/>
        <v>0</v>
      </c>
      <c r="X10" s="16">
        <f t="shared" ca="1" si="6"/>
        <v>0</v>
      </c>
      <c r="Y10" s="16">
        <f t="shared" ca="1" si="6"/>
        <v>0</v>
      </c>
      <c r="Z10" s="16">
        <f t="shared" ca="1" si="6"/>
        <v>0</v>
      </c>
      <c r="AA10" s="16">
        <f t="shared" ca="1" si="6"/>
        <v>0</v>
      </c>
      <c r="AB10" s="16">
        <f t="shared" ca="1" si="6"/>
        <v>0</v>
      </c>
      <c r="AC10" s="16">
        <f t="shared" ca="1" si="6"/>
        <v>0</v>
      </c>
      <c r="AD10" s="16">
        <f t="shared" ca="1" si="6"/>
        <v>0</v>
      </c>
      <c r="AE10" s="16">
        <f t="shared" ca="1" si="6"/>
        <v>0</v>
      </c>
      <c r="AF10" s="23">
        <f ca="1">SUMIFS(INDIRECT("'"&amp;A$7&amp;" - NRPY'!$O:$O"), INDIRECT("'"&amp;A$7&amp;" - NRPY'!$A:$A"), "&gt;"&amp;INDEX(Console!$A$6:$E$14, MATCH($A10, Console!$A$6:$A$14, 0), MATCH(A$7, Console!$A$6:$E$6, 0)), INDIRECT("'"&amp;A$7&amp;" - NRPY'!$A:$A"), IFERROR("&lt;="&amp;IF(INDEX(Console!$A$6:$E$14, MATCH($A10, Console!$A$6:$A$14, 0)+1, MATCH(A$7, Console!$A$6:$E$6, 0))=0, NA(), INDEX(Console!$A$6:$E$14, MATCH($A10, Console!$A$6:$A$14, 0)+1, MATCH(A$7, Console!$A$6:$E$6, 0))),"&gt;0"))</f>
        <v>16297493</v>
      </c>
    </row>
    <row r="11" spans="1:32" x14ac:dyDescent="0.25">
      <c r="A11" s="20">
        <f>Console!A9</f>
        <v>5.5E-2</v>
      </c>
      <c r="B11" s="8">
        <f>Console!B9</f>
        <v>50000</v>
      </c>
      <c r="C11" s="5">
        <f ca="1">SUMIFS(INDIRECT("'"&amp;A$7&amp;" - NRPY'!$G:$G"), INDIRECT("'"&amp;A$7&amp;" - NRPY'!$A:$A"), "&gt;"&amp;INDEX(Console!$A$6:$E$14, MATCH($A11, Console!$A$6:$A$14, 0), MATCH(A$7, Console!$A$6:$E$6, 0)), INDIRECT("'"&amp;A$7&amp;" - NRPY'!$A:$A"), IFERROR("&lt;="&amp;IF(INDEX(Console!$A$6:$E$14, MATCH($A11, Console!$A$6:$A$14, 0)+1, MATCH(A$7, Console!$A$6:$E$6, 0))=0, NA(), INDEX(Console!$A$6:$E$14, MATCH($A11, Console!$A$6:$A$14, 0)+1, MATCH(A$7, Console!$A$6:$E$6, 0))),"&gt;0"))</f>
        <v>2108291640</v>
      </c>
      <c r="D11" s="5">
        <f ca="1">SUMIFS(INDIRECT("'"&amp;A$7&amp;" - NRPY'!$C:$C"), INDIRECT("'"&amp;A$7&amp;" - NRPY'!$A:$A"), "&gt;"&amp;INDEX(Console!$A$6:$E$14, MATCH($A11, Console!$A$6:$A$14, 0), MATCH(A$7, Console!$A$6:$E$6, 0)), INDIRECT("'"&amp;A$7&amp;" - NRPY'!$A:$A"), IFERROR("&lt;="&amp;IF(INDEX(Console!$A$6:$E$14, MATCH($A11, Console!$A$6:$A$14, 0)+1, MATCH(A$7, Console!$A$6:$E$6, 0))=0, NA(), INDEX(Console!$A$6:$E$14, MATCH($A11, Console!$A$6:$A$14, 0)+1, MATCH(A$7, Console!$A$6:$E$6, 0))),"&gt;0"))</f>
        <v>29720</v>
      </c>
      <c r="E11" s="5">
        <f t="shared" ca="1" si="2"/>
        <v>70938.48048452221</v>
      </c>
      <c r="F11">
        <f ca="1">IF(E11&lt;Console!B$21, Console!B$20, MAX((Console!B$22-E11)/1000*Console!B$23, 0))</f>
        <v>0</v>
      </c>
      <c r="G11">
        <f ca="1">IF(E11&gt;Console!B$31, MIN((E11-Console!B$31)*Console!B$33/1000, Console!B$32), 0)+IF(E11&gt;Console!B$36, MIN((E11-Console!B$36)*Console!B$38/1000, Console!B$37), 0)</f>
        <v>0</v>
      </c>
      <c r="H11" s="5">
        <f t="shared" ca="1" si="7"/>
        <v>0</v>
      </c>
      <c r="I11" s="18">
        <f ca="1">IF(E11&gt;Console!B$26, IF(E11&lt;Console!B$27, (E11-Console!B$26)*Console!B$28/1000, (Console!B$27-Console!B$26)*Console!B$28/1000), 0)</f>
        <v>2887.6960969044417</v>
      </c>
      <c r="J11" s="5">
        <f t="shared" ca="1" si="3"/>
        <v>7112.3039030955588</v>
      </c>
      <c r="K11" s="5">
        <f t="shared" ca="1" si="4"/>
        <v>42887.696096904445</v>
      </c>
      <c r="L11" s="5">
        <f t="shared" ca="1" si="5"/>
        <v>20938.48048452221</v>
      </c>
      <c r="M11" s="5">
        <f t="shared" ca="1" si="5"/>
        <v>0</v>
      </c>
      <c r="N11" s="5">
        <f t="shared" ca="1" si="5"/>
        <v>0</v>
      </c>
      <c r="O11" s="5">
        <f t="shared" ca="1" si="5"/>
        <v>0</v>
      </c>
      <c r="P11" s="5">
        <f t="shared" ca="1" si="5"/>
        <v>0</v>
      </c>
      <c r="Q11" s="5">
        <f t="shared" ca="1" si="5"/>
        <v>0</v>
      </c>
      <c r="R11" s="5">
        <f t="shared" ca="1" si="5"/>
        <v>0</v>
      </c>
      <c r="S11" s="5">
        <f t="shared" ca="1" si="5"/>
        <v>0</v>
      </c>
      <c r="T11" s="18">
        <f t="shared" ca="1" si="5"/>
        <v>0</v>
      </c>
      <c r="U11" s="16">
        <f t="shared" ca="1" si="8"/>
        <v>0.100260167042165</v>
      </c>
      <c r="V11" s="16">
        <f t="shared" ca="1" si="6"/>
        <v>0.6045759058267669</v>
      </c>
      <c r="W11" s="16">
        <f t="shared" ca="1" si="6"/>
        <v>0.29516392713106809</v>
      </c>
      <c r="X11" s="16">
        <f t="shared" ca="1" si="6"/>
        <v>0</v>
      </c>
      <c r="Y11" s="16">
        <f t="shared" ca="1" si="6"/>
        <v>0</v>
      </c>
      <c r="Z11" s="16">
        <f t="shared" ca="1" si="6"/>
        <v>0</v>
      </c>
      <c r="AA11" s="16">
        <f t="shared" ca="1" si="6"/>
        <v>0</v>
      </c>
      <c r="AB11" s="16">
        <f t="shared" ca="1" si="6"/>
        <v>0</v>
      </c>
      <c r="AC11" s="16">
        <f t="shared" ca="1" si="6"/>
        <v>0</v>
      </c>
      <c r="AD11" s="16">
        <f t="shared" ca="1" si="6"/>
        <v>0</v>
      </c>
      <c r="AE11" s="16">
        <f t="shared" ca="1" si="6"/>
        <v>0</v>
      </c>
      <c r="AF11" s="23">
        <f ca="1">SUMIFS(INDIRECT("'"&amp;A$7&amp;" - NRPY'!$O:$O"), INDIRECT("'"&amp;A$7&amp;" - NRPY'!$A:$A"), "&gt;"&amp;INDEX(Console!$A$6:$E$14, MATCH($A11, Console!$A$6:$A$14, 0), MATCH(A$7, Console!$A$6:$E$6, 0)), INDIRECT("'"&amp;A$7&amp;" - NRPY'!$A:$A"), IFERROR("&lt;="&amp;IF(INDEX(Console!$A$6:$E$14, MATCH($A11, Console!$A$6:$A$14, 0)+1, MATCH(A$7, Console!$A$6:$E$6, 0))=0, NA(), INDEX(Console!$A$6:$E$14, MATCH($A11, Console!$A$6:$A$14, 0)+1, MATCH(A$7, Console!$A$6:$E$6, 0))),"&gt;0"))</f>
        <v>48410915</v>
      </c>
    </row>
    <row r="12" spans="1:32" x14ac:dyDescent="0.25">
      <c r="A12" s="20">
        <f>Console!A10</f>
        <v>0.06</v>
      </c>
      <c r="B12" s="8">
        <f>Console!B10</f>
        <v>100000</v>
      </c>
      <c r="C12" s="5">
        <f ca="1">SUMIFS(INDIRECT("'"&amp;A$7&amp;" - NRPY'!$G:$G"), INDIRECT("'"&amp;A$7&amp;" - NRPY'!$A:$A"), "&gt;"&amp;INDEX(Console!$A$6:$E$14, MATCH($A12, Console!$A$6:$A$14, 0), MATCH(A$7, Console!$A$6:$E$6, 0)), INDIRECT("'"&amp;A$7&amp;" - NRPY'!$A:$A"), IFERROR("&lt;="&amp;IF(INDEX(Console!$A$6:$E$14, MATCH($A12, Console!$A$6:$A$14, 0)+1, MATCH(A$7, Console!$A$6:$E$6, 0))=0, NA(), INDEX(Console!$A$6:$E$14, MATCH($A12, Console!$A$6:$A$14, 0)+1, MATCH(A$7, Console!$A$6:$E$6, 0))),"&gt;0"))</f>
        <v>1824755125</v>
      </c>
      <c r="D12" s="5">
        <f ca="1">SUMIFS(INDIRECT("'"&amp;A$7&amp;" - NRPY'!$C:$C"), INDIRECT("'"&amp;A$7&amp;" - NRPY'!$A:$A"), "&gt;"&amp;INDEX(Console!$A$6:$E$14, MATCH($A12, Console!$A$6:$A$14, 0), MATCH(A$7, Console!$A$6:$E$6, 0)), INDIRECT("'"&amp;A$7&amp;" - NRPY'!$A:$A"), IFERROR("&lt;="&amp;IF(INDEX(Console!$A$6:$E$14, MATCH($A12, Console!$A$6:$A$14, 0)+1, MATCH(A$7, Console!$A$6:$E$6, 0))=0, NA(), INDEX(Console!$A$6:$E$14, MATCH($A12, Console!$A$6:$A$14, 0)+1, MATCH(A$7, Console!$A$6:$E$6, 0))),"&gt;0"))</f>
        <v>13456</v>
      </c>
      <c r="E12" s="5">
        <f t="shared" ca="1" si="2"/>
        <v>135609.03128715814</v>
      </c>
      <c r="F12">
        <f ca="1">IF(E12&lt;Console!B$21, Console!B$20, MAX((Console!B$22-E12)/1000*Console!B$23, 0))</f>
        <v>0</v>
      </c>
      <c r="G12">
        <f ca="1">IF(E12&gt;Console!B$31, MIN((E12-Console!B$31)*Console!B$33/1000, Console!B$32), 0)+IF(E12&gt;Console!B$36, MIN((E12-Console!B$36)*Console!B$38/1000, Console!B$37), 0)</f>
        <v>0</v>
      </c>
      <c r="H12" s="5">
        <f t="shared" ca="1" si="7"/>
        <v>0</v>
      </c>
      <c r="I12" s="18">
        <f ca="1">IF(E12&gt;Console!B$26, IF(E12&lt;Console!B$27, (E12-Console!B$26)*Console!B$28/1000, (Console!B$27-Console!B$26)*Console!B$28/1000), 0)</f>
        <v>10000</v>
      </c>
      <c r="J12" s="5">
        <f t="shared" ca="1" si="3"/>
        <v>0</v>
      </c>
      <c r="K12" s="5">
        <f t="shared" ca="1" si="4"/>
        <v>50000</v>
      </c>
      <c r="L12" s="5">
        <f t="shared" ca="1" si="5"/>
        <v>50000</v>
      </c>
      <c r="M12" s="5">
        <f t="shared" ca="1" si="5"/>
        <v>35609.031287158141</v>
      </c>
      <c r="N12" s="5">
        <f t="shared" ca="1" si="5"/>
        <v>0</v>
      </c>
      <c r="O12" s="5">
        <f t="shared" ca="1" si="5"/>
        <v>0</v>
      </c>
      <c r="P12" s="5">
        <f t="shared" ca="1" si="5"/>
        <v>0</v>
      </c>
      <c r="Q12" s="5">
        <f t="shared" ca="1" si="5"/>
        <v>0</v>
      </c>
      <c r="R12" s="5">
        <f t="shared" ca="1" si="5"/>
        <v>0</v>
      </c>
      <c r="S12" s="5">
        <f t="shared" ca="1" si="5"/>
        <v>0</v>
      </c>
      <c r="T12" s="18">
        <f t="shared" ca="1" si="5"/>
        <v>0</v>
      </c>
      <c r="U12" s="16">
        <f t="shared" ca="1" si="8"/>
        <v>0</v>
      </c>
      <c r="V12" s="16">
        <f t="shared" ca="1" si="6"/>
        <v>0.36870700664561773</v>
      </c>
      <c r="W12" s="16">
        <f t="shared" ca="1" si="6"/>
        <v>0.36870700664561773</v>
      </c>
      <c r="X12" s="16">
        <f t="shared" ca="1" si="6"/>
        <v>0.26258598670876454</v>
      </c>
      <c r="Y12" s="16">
        <f t="shared" ca="1" si="6"/>
        <v>0</v>
      </c>
      <c r="Z12" s="16">
        <f t="shared" ca="1" si="6"/>
        <v>0</v>
      </c>
      <c r="AA12" s="16">
        <f t="shared" ca="1" si="6"/>
        <v>0</v>
      </c>
      <c r="AB12" s="16">
        <f t="shared" ca="1" si="6"/>
        <v>0</v>
      </c>
      <c r="AC12" s="16">
        <f t="shared" ca="1" si="6"/>
        <v>0</v>
      </c>
      <c r="AD12" s="16">
        <f t="shared" ca="1" si="6"/>
        <v>0</v>
      </c>
      <c r="AE12" s="16">
        <f t="shared" ca="1" si="6"/>
        <v>0</v>
      </c>
      <c r="AF12" s="23">
        <f ca="1">SUMIFS(INDIRECT("'"&amp;A$7&amp;" - NRPY'!$O:$O"), INDIRECT("'"&amp;A$7&amp;" - NRPY'!$A:$A"), "&gt;"&amp;INDEX(Console!$A$6:$E$14, MATCH($A12, Console!$A$6:$A$14, 0), MATCH(A$7, Console!$A$6:$E$6, 0)), INDIRECT("'"&amp;A$7&amp;" - NRPY'!$A:$A"), IFERROR("&lt;="&amp;IF(INDEX(Console!$A$6:$E$14, MATCH($A12, Console!$A$6:$A$14, 0)+1, MATCH(A$7, Console!$A$6:$E$6, 0))=0, NA(), INDEX(Console!$A$6:$E$14, MATCH($A12, Console!$A$6:$A$14, 0)+1, MATCH(A$7, Console!$A$6:$E$6, 0))),"&gt;0"))</f>
        <v>39003615</v>
      </c>
    </row>
    <row r="13" spans="1:32" x14ac:dyDescent="0.25">
      <c r="A13" s="20">
        <f>Console!A11</f>
        <v>6.5000000000000002E-2</v>
      </c>
      <c r="B13" s="8">
        <f>Console!B11</f>
        <v>200000</v>
      </c>
      <c r="C13" s="5">
        <f ca="1">SUMIFS(INDIRECT("'"&amp;A$7&amp;" - NRPY'!$G:$G"), INDIRECT("'"&amp;A$7&amp;" - NRPY'!$A:$A"), "&gt;"&amp;INDEX(Console!$A$6:$E$14, MATCH($A13, Console!$A$6:$A$14, 0), MATCH(A$7, Console!$A$6:$E$6, 0)), INDIRECT("'"&amp;A$7&amp;" - NRPY'!$A:$A"), IFERROR("&lt;="&amp;IF(INDEX(Console!$A$6:$E$14, MATCH($A13, Console!$A$6:$A$14, 0)+1, MATCH(A$7, Console!$A$6:$E$6, 0))=0, NA(), INDEX(Console!$A$6:$E$14, MATCH($A13, Console!$A$6:$A$14, 0)+1, MATCH(A$7, Console!$A$6:$E$6, 0))),"&gt;0"))</f>
        <v>426773130</v>
      </c>
      <c r="D13" s="5">
        <f ca="1">SUMIFS(INDIRECT("'"&amp;A$7&amp;" - NRPY'!$C:$C"), INDIRECT("'"&amp;A$7&amp;" - NRPY'!$A:$A"), "&gt;"&amp;INDEX(Console!$A$6:$E$14, MATCH($A13, Console!$A$6:$A$14, 0), MATCH(A$7, Console!$A$6:$E$6, 0)), INDIRECT("'"&amp;A$7&amp;" - NRPY'!$A:$A"), IFERROR("&lt;="&amp;IF(INDEX(Console!$A$6:$E$14, MATCH($A13, Console!$A$6:$A$14, 0)+1, MATCH(A$7, Console!$A$6:$E$6, 0))=0, NA(), INDEX(Console!$A$6:$E$14, MATCH($A13, Console!$A$6:$A$14, 0)+1, MATCH(A$7, Console!$A$6:$E$6, 0))),"&gt;0"))</f>
        <v>1916</v>
      </c>
      <c r="E13" s="5">
        <f t="shared" ca="1" si="2"/>
        <v>222741.71711899791</v>
      </c>
      <c r="F13">
        <f ca="1">IF(E13&lt;Console!B$21, Console!B$20, MAX((Console!B$22-E13)/1000*Console!B$23, 0))</f>
        <v>0</v>
      </c>
      <c r="G13">
        <f ca="1">IF(E13&gt;Console!B$31, MIN((E13-Console!B$31)*Console!B$33/1000, Console!B$32), 0)+IF(E13&gt;Console!B$36, MIN((E13-Console!B$36)*Console!B$38/1000, Console!B$37), 0)</f>
        <v>409.35090814196241</v>
      </c>
      <c r="H13" s="5">
        <f t="shared" ca="1" si="7"/>
        <v>784316.34</v>
      </c>
      <c r="I13" s="18">
        <f ca="1">IF(E13&gt;Console!B$26, IF(E13&lt;Console!B$27, (E13-Console!B$26)*Console!B$28/1000, (Console!B$27-Console!B$26)*Console!B$28/1000), 0)</f>
        <v>10000</v>
      </c>
      <c r="J13" s="5">
        <f t="shared" ca="1" si="3"/>
        <v>0</v>
      </c>
      <c r="K13" s="5">
        <f t="shared" ca="1" si="4"/>
        <v>50000</v>
      </c>
      <c r="L13" s="5">
        <f t="shared" ca="1" si="5"/>
        <v>50000</v>
      </c>
      <c r="M13" s="5">
        <f t="shared" ca="1" si="5"/>
        <v>100000</v>
      </c>
      <c r="N13" s="5">
        <f t="shared" ca="1" si="5"/>
        <v>22741.717118997913</v>
      </c>
      <c r="O13" s="5">
        <f t="shared" ca="1" si="5"/>
        <v>0</v>
      </c>
      <c r="P13" s="5">
        <f t="shared" ca="1" si="5"/>
        <v>0</v>
      </c>
      <c r="Q13" s="5">
        <f t="shared" ca="1" si="5"/>
        <v>0</v>
      </c>
      <c r="R13" s="5">
        <f t="shared" ca="1" si="5"/>
        <v>0</v>
      </c>
      <c r="S13" s="5">
        <f t="shared" ca="1" si="5"/>
        <v>0</v>
      </c>
      <c r="T13" s="18">
        <f t="shared" ca="1" si="5"/>
        <v>0</v>
      </c>
      <c r="U13" s="16">
        <f t="shared" ca="1" si="8"/>
        <v>0</v>
      </c>
      <c r="V13" s="16">
        <f t="shared" ca="1" si="6"/>
        <v>0.22447523816693896</v>
      </c>
      <c r="W13" s="16">
        <f t="shared" ca="1" si="6"/>
        <v>0.22447523816693896</v>
      </c>
      <c r="X13" s="16">
        <f t="shared" ca="1" si="6"/>
        <v>0.44895047633387791</v>
      </c>
      <c r="Y13" s="16">
        <f t="shared" ca="1" si="6"/>
        <v>0.10209904733224419</v>
      </c>
      <c r="Z13" s="16">
        <f t="shared" ca="1" si="6"/>
        <v>0</v>
      </c>
      <c r="AA13" s="16">
        <f t="shared" ca="1" si="6"/>
        <v>0</v>
      </c>
      <c r="AB13" s="16">
        <f t="shared" ca="1" si="6"/>
        <v>0</v>
      </c>
      <c r="AC13" s="16">
        <f t="shared" ca="1" si="6"/>
        <v>0</v>
      </c>
      <c r="AD13" s="16">
        <f t="shared" ca="1" si="6"/>
        <v>0</v>
      </c>
      <c r="AE13" s="16">
        <f t="shared" ca="1" si="6"/>
        <v>0</v>
      </c>
      <c r="AF13" s="23">
        <f ca="1">SUMIFS(INDIRECT("'"&amp;A$7&amp;" - NRPY'!$O:$O"), INDIRECT("'"&amp;A$7&amp;" - NRPY'!$A:$A"), "&gt;"&amp;INDEX(Console!$A$6:$E$14, MATCH($A13, Console!$A$6:$A$14, 0), MATCH(A$7, Console!$A$6:$E$6, 0)), INDIRECT("'"&amp;A$7&amp;" - NRPY'!$A:$A"), IFERROR("&lt;="&amp;IF(INDEX(Console!$A$6:$E$14, MATCH($A13, Console!$A$6:$A$14, 0)+1, MATCH(A$7, Console!$A$6:$E$6, 0))=0, NA(), INDEX(Console!$A$6:$E$14, MATCH($A13, Console!$A$6:$A$14, 0)+1, MATCH(A$7, Console!$A$6:$E$6, 0))),"&gt;0"))</f>
        <v>8744280</v>
      </c>
    </row>
    <row r="14" spans="1:32" x14ac:dyDescent="0.25">
      <c r="A14" s="20">
        <f>Console!A12</f>
        <v>6.9000000000000006E-2</v>
      </c>
      <c r="B14" s="8">
        <f>Console!B12</f>
        <v>250000</v>
      </c>
      <c r="C14" s="5">
        <f ca="1">SUMIFS(INDIRECT("'"&amp;A$7&amp;" - NRPY'!$G:$G"), INDIRECT("'"&amp;A$7&amp;" - NRPY'!$A:$A"), "&gt;"&amp;INDEX(Console!$A$6:$E$14, MATCH($A14, Console!$A$6:$A$14, 0), MATCH(A$7, Console!$A$6:$E$6, 0)), INDIRECT("'"&amp;A$7&amp;" - NRPY'!$A:$A"), IFERROR("&lt;="&amp;IF(INDEX(Console!$A$6:$E$14, MATCH($A14, Console!$A$6:$A$14, 0)+1, MATCH(A$7, Console!$A$6:$E$6, 0))=0, NA(), INDEX(Console!$A$6:$E$14, MATCH($A14, Console!$A$6:$A$14, 0)+1, MATCH(A$7, Console!$A$6:$E$6, 0))),"&gt;0"))</f>
        <v>1134900428</v>
      </c>
      <c r="D14" s="5">
        <f ca="1">SUMIFS(INDIRECT("'"&amp;A$7&amp;" - NRPY'!$C:$C"), INDIRECT("'"&amp;A$7&amp;" - NRPY'!$A:$A"), "&gt;"&amp;INDEX(Console!$A$6:$E$14, MATCH($A14, Console!$A$6:$A$14, 0), MATCH(A$7, Console!$A$6:$E$6, 0)), INDIRECT("'"&amp;A$7&amp;" - NRPY'!$A:$A"), IFERROR("&lt;="&amp;IF(INDEX(Console!$A$6:$E$14, MATCH($A14, Console!$A$6:$A$14, 0)+1, MATCH(A$7, Console!$A$6:$E$6, 0))=0, NA(), INDEX(Console!$A$6:$E$14, MATCH($A14, Console!$A$6:$A$14, 0)+1, MATCH(A$7, Console!$A$6:$E$6, 0))),"&gt;0"))</f>
        <v>3303</v>
      </c>
      <c r="E14" s="5">
        <f t="shared" ca="1" si="2"/>
        <v>343596.85982440208</v>
      </c>
      <c r="F14">
        <f ca="1">IF(E14&lt;Console!B$21, Console!B$20, MAX((Console!B$22-E14)/1000*Console!B$23, 0))</f>
        <v>0</v>
      </c>
      <c r="G14">
        <f ca="1">IF(E14&gt;Console!B$31, MIN((E14-Console!B$31)*Console!B$33/1000, Console!B$32), 0)+IF(E14&gt;Console!B$36, MIN((E14-Console!B$36)*Console!B$38/1000, Console!B$37), 0)</f>
        <v>2584.7434768392372</v>
      </c>
      <c r="H14" s="5">
        <f t="shared" ca="1" si="7"/>
        <v>8537407.7039999999</v>
      </c>
      <c r="I14" s="18">
        <f ca="1">IF(E14&gt;Console!B$26, IF(E14&lt;Console!B$27, (E14-Console!B$26)*Console!B$28/1000, (Console!B$27-Console!B$26)*Console!B$28/1000), 0)</f>
        <v>10000</v>
      </c>
      <c r="J14" s="5">
        <f t="shared" ca="1" si="3"/>
        <v>0</v>
      </c>
      <c r="K14" s="5">
        <f t="shared" ca="1" si="4"/>
        <v>50000</v>
      </c>
      <c r="L14" s="5">
        <f t="shared" ca="1" si="5"/>
        <v>50000</v>
      </c>
      <c r="M14" s="5">
        <f t="shared" ca="1" si="5"/>
        <v>100000</v>
      </c>
      <c r="N14" s="5">
        <f t="shared" ca="1" si="5"/>
        <v>50000</v>
      </c>
      <c r="O14" s="5">
        <f t="shared" ca="1" si="5"/>
        <v>93596.859824402083</v>
      </c>
      <c r="P14" s="5">
        <f t="shared" ca="1" si="5"/>
        <v>0</v>
      </c>
      <c r="Q14" s="5">
        <f t="shared" ca="1" si="5"/>
        <v>0</v>
      </c>
      <c r="R14" s="5">
        <f t="shared" ca="1" si="5"/>
        <v>0</v>
      </c>
      <c r="S14" s="5">
        <f t="shared" ca="1" si="5"/>
        <v>0</v>
      </c>
      <c r="T14" s="18">
        <f t="shared" ca="1" si="5"/>
        <v>0</v>
      </c>
      <c r="U14" s="16">
        <f t="shared" ca="1" si="8"/>
        <v>0</v>
      </c>
      <c r="V14" s="16">
        <f t="shared" ca="1" si="6"/>
        <v>0.1455193741454823</v>
      </c>
      <c r="W14" s="16">
        <f t="shared" ca="1" si="6"/>
        <v>0.1455193741454823</v>
      </c>
      <c r="X14" s="16">
        <f t="shared" ca="1" si="6"/>
        <v>0.2910387482909646</v>
      </c>
      <c r="Y14" s="16">
        <f t="shared" ca="1" si="6"/>
        <v>0.1455193741454823</v>
      </c>
      <c r="Z14" s="16">
        <f t="shared" ca="1" si="6"/>
        <v>0.27240312927258853</v>
      </c>
      <c r="AA14" s="16">
        <f t="shared" ca="1" si="6"/>
        <v>0</v>
      </c>
      <c r="AB14" s="16">
        <f t="shared" ca="1" si="6"/>
        <v>0</v>
      </c>
      <c r="AC14" s="16">
        <f t="shared" ca="1" si="6"/>
        <v>0</v>
      </c>
      <c r="AD14" s="16">
        <f t="shared" ca="1" si="6"/>
        <v>0</v>
      </c>
      <c r="AE14" s="16">
        <f t="shared" ca="1" si="6"/>
        <v>0</v>
      </c>
      <c r="AF14" s="23">
        <f ca="1">SUMIFS(INDIRECT("'"&amp;A$7&amp;" - NRPY'!$O:$O"), INDIRECT("'"&amp;A$7&amp;" - NRPY'!$A:$A"), "&gt;"&amp;INDEX(Console!$A$6:$E$14, MATCH($A14, Console!$A$6:$A$14, 0), MATCH(A$7, Console!$A$6:$E$6, 0)), INDIRECT("'"&amp;A$7&amp;" - NRPY'!$A:$A"), IFERROR("&lt;="&amp;IF(INDEX(Console!$A$6:$E$14, MATCH($A14, Console!$A$6:$A$14, 0)+1, MATCH(A$7, Console!$A$6:$E$6, 0))=0, NA(), INDEX(Console!$A$6:$E$14, MATCH($A14, Console!$A$6:$A$14, 0)+1, MATCH(A$7, Console!$A$6:$E$6, 0))),"&gt;0"))</f>
        <v>22182246</v>
      </c>
    </row>
    <row r="15" spans="1:32" x14ac:dyDescent="0.25">
      <c r="A15" s="20">
        <f>Console!A13</f>
        <v>6.9900000000000004E-2</v>
      </c>
      <c r="B15" s="8">
        <f>Console!B13</f>
        <v>500000</v>
      </c>
      <c r="C15" s="5">
        <f ca="1">SUMIFS(INDIRECT("'"&amp;A$7&amp;" - NRPY'!$G:$G"), INDIRECT("'"&amp;A$7&amp;" - NRPY'!$A:$A"), "&gt;"&amp;INDEX(Console!$A$6:$E$14, MATCH($A15, Console!$A$6:$A$14, 0), MATCH(A$7, Console!$A$6:$E$6, 0)), INDIRECT("'"&amp;A$7&amp;" - NRPY'!$A:$A"), IFERROR("&lt;="&amp;IF(INDEX(Console!$A$6:$E$14, MATCH($A15, Console!$A$6:$A$14, 0)+1, MATCH(A$7, Console!$A$6:$E$6, 0))=0, NA(), INDEX(Console!$A$6:$E$14, MATCH($A15, Console!$A$6:$A$14, 0)+1, MATCH(A$7, Console!$A$6:$E$6, 0))),"&gt;0"))</f>
        <v>19507122769</v>
      </c>
      <c r="D15" s="5">
        <f ca="1">SUMIFS(INDIRECT("'"&amp;A$7&amp;" - NRPY'!$C:$C"), INDIRECT("'"&amp;A$7&amp;" - NRPY'!$A:$A"), "&gt;"&amp;INDEX(Console!$A$6:$E$14, MATCH($A15, Console!$A$6:$A$14, 0), MATCH(A$7, Console!$A$6:$E$6, 0)), INDIRECT("'"&amp;A$7&amp;" - NRPY'!$A:$A"), IFERROR("&lt;="&amp;IF(INDEX(Console!$A$6:$E$14, MATCH($A15, Console!$A$6:$A$14, 0)+1, MATCH(A$7, Console!$A$6:$E$6, 0))=0, NA(), INDEX(Console!$A$6:$E$14, MATCH($A15, Console!$A$6:$A$14, 0)+1, MATCH(A$7, Console!$A$6:$E$6, 0))),"&gt;0"))</f>
        <v>3092</v>
      </c>
      <c r="E15" s="5">
        <f t="shared" ca="1" si="2"/>
        <v>6308901.2836351879</v>
      </c>
      <c r="F15">
        <f ca="1">IF(E15&lt;Console!B$21, Console!B$20, MAX((Console!B$22-E15)/1000*Console!B$23, 0))</f>
        <v>0</v>
      </c>
      <c r="G15">
        <f ca="1">IF(E15&gt;Console!B$31, MIN((E15-Console!B$31)*Console!B$33/1000, Console!B$32), 0)+IF(E15&gt;Console!B$36, MIN((E15-Console!B$36)*Console!B$38/1000, Console!B$37), 0)</f>
        <v>3150</v>
      </c>
      <c r="H15" s="5">
        <f t="shared" ca="1" si="7"/>
        <v>9739800</v>
      </c>
      <c r="I15" s="18">
        <f ca="1">IF(E15&gt;Console!B$26, IF(E15&lt;Console!B$27, (E15-Console!B$26)*Console!B$28/1000, (Console!B$27-Console!B$26)*Console!B$28/1000), 0)</f>
        <v>10000</v>
      </c>
      <c r="J15" s="5">
        <f t="shared" ca="1" si="3"/>
        <v>0</v>
      </c>
      <c r="K15" s="5">
        <f t="shared" ca="1" si="4"/>
        <v>50000</v>
      </c>
      <c r="L15" s="5">
        <f t="shared" ca="1" si="5"/>
        <v>50000</v>
      </c>
      <c r="M15" s="5">
        <f t="shared" ca="1" si="5"/>
        <v>100000</v>
      </c>
      <c r="N15" s="5">
        <f t="shared" ca="1" si="5"/>
        <v>50000</v>
      </c>
      <c r="O15" s="5">
        <f t="shared" ca="1" si="5"/>
        <v>250000</v>
      </c>
      <c r="P15" s="5">
        <f t="shared" ca="1" si="5"/>
        <v>5808901.2836351879</v>
      </c>
      <c r="Q15" s="5">
        <f t="shared" ca="1" si="5"/>
        <v>0</v>
      </c>
      <c r="R15" s="5">
        <f t="shared" ca="1" si="5"/>
        <v>0</v>
      </c>
      <c r="S15" s="5">
        <f t="shared" ca="1" si="5"/>
        <v>0</v>
      </c>
      <c r="T15" s="18">
        <f t="shared" ca="1" si="5"/>
        <v>0</v>
      </c>
      <c r="U15" s="16">
        <f t="shared" ca="1" si="8"/>
        <v>0</v>
      </c>
      <c r="V15" s="16">
        <f t="shared" ca="1" si="6"/>
        <v>7.9253102485049524E-3</v>
      </c>
      <c r="W15" s="16">
        <f t="shared" ca="1" si="6"/>
        <v>7.9253102485049524E-3</v>
      </c>
      <c r="X15" s="16">
        <f t="shared" ca="1" si="6"/>
        <v>1.5850620497009905E-2</v>
      </c>
      <c r="Y15" s="16">
        <f t="shared" ca="1" si="6"/>
        <v>7.9253102485049524E-3</v>
      </c>
      <c r="Z15" s="16">
        <f t="shared" ca="1" si="6"/>
        <v>3.962655124252476E-2</v>
      </c>
      <c r="AA15" s="16">
        <f t="shared" ca="1" si="6"/>
        <v>0.92074689751495054</v>
      </c>
      <c r="AB15" s="16">
        <f t="shared" ca="1" si="6"/>
        <v>0</v>
      </c>
      <c r="AC15" s="16">
        <f t="shared" ca="1" si="6"/>
        <v>0</v>
      </c>
      <c r="AD15" s="16">
        <f t="shared" ca="1" si="6"/>
        <v>0</v>
      </c>
      <c r="AE15" s="16">
        <f t="shared" ca="1" si="6"/>
        <v>0</v>
      </c>
      <c r="AF15" s="23">
        <f ca="1">SUMIFS(INDIRECT("'"&amp;A$7&amp;" - NRPY'!$O:$O"), INDIRECT("'"&amp;A$7&amp;" - NRPY'!$A:$A"), "&gt;"&amp;INDEX(Console!$A$6:$E$14, MATCH($A15, Console!$A$6:$A$14, 0), MATCH(A$7, Console!$A$6:$E$6, 0)), INDIRECT("'"&amp;A$7&amp;" - NRPY'!$A:$A"), IFERROR("&lt;="&amp;IF(INDEX(Console!$A$6:$E$14, MATCH($A15, Console!$A$6:$A$14, 0)+1, MATCH(A$7, Console!$A$6:$E$6, 0))=0, NA(), INDEX(Console!$A$6:$E$14, MATCH($A15, Console!$A$6:$A$14, 0)+1, MATCH(A$7, Console!$A$6:$E$6, 0))),"&gt;0"))</f>
        <v>48997607</v>
      </c>
    </row>
    <row r="16" spans="1:32" x14ac:dyDescent="0.25">
      <c r="A16" s="20">
        <f>Console!A14</f>
        <v>0</v>
      </c>
      <c r="B16" s="8">
        <f>Console!B14</f>
        <v>0</v>
      </c>
      <c r="C16" s="5">
        <f ca="1">SUMIFS(INDIRECT("'"&amp;A$7&amp;" - NRPY'!$G:$G"), INDIRECT("'"&amp;A$7&amp;" - NRPY'!$A:$A"), "&gt;"&amp;INDEX(Console!$A$6:$E$14, MATCH($A16, Console!$A$6:$A$14, 0), MATCH(A$7, Console!$A$6:$E$6, 0)), INDIRECT("'"&amp;A$7&amp;" - NRPY'!$A:$A"), IFERROR("&lt;="&amp;IF(INDEX(Console!$A$6:$E$14, MATCH($A16, Console!$A$6:$A$14, 0)+1, MATCH(A$7, Console!$A$6:$E$6, 0))=0, NA(), INDEX(Console!$A$6:$E$14, MATCH($A16, Console!$A$6:$A$14, 0)+1, MATCH(A$7, Console!$A$6:$E$6, 0))),"&gt;0"))</f>
        <v>0</v>
      </c>
      <c r="D16" s="5">
        <f ca="1">SUMIFS(INDIRECT("'"&amp;A$7&amp;" - NRPY'!$C:$C"), INDIRECT("'"&amp;A$7&amp;" - NRPY'!$A:$A"), "&gt;"&amp;INDEX(Console!$A$6:$E$14, MATCH($A16, Console!$A$6:$A$14, 0), MATCH(A$7, Console!$A$6:$E$6, 0)), INDIRECT("'"&amp;A$7&amp;" - NRPY'!$A:$A"), IFERROR("&lt;="&amp;IF(INDEX(Console!$A$6:$E$14, MATCH($A16, Console!$A$6:$A$14, 0)+1, MATCH(A$7, Console!$A$6:$E$6, 0))=0, NA(), INDEX(Console!$A$6:$E$14, MATCH($A16, Console!$A$6:$A$14, 0)+1, MATCH(A$7, Console!$A$6:$E$6, 0))),"&gt;0"))</f>
        <v>0</v>
      </c>
      <c r="E16" s="5">
        <f t="shared" ca="1" si="2"/>
        <v>0</v>
      </c>
      <c r="F16">
        <f ca="1">IF(E16&lt;Console!B$21, Console!B$20, MAX((Console!B$22-E16)/1000*Console!B$23, 0))</f>
        <v>15000</v>
      </c>
      <c r="G16">
        <f ca="1">IF(E16&gt;Console!B$31, MIN((E16-Console!B$31)*Console!B$33/1000, Console!B$32), 0)+IF(E16&gt;Console!B$36, MIN((E16-Console!B$36)*Console!B$38/1000, Console!B$37), 0)</f>
        <v>0</v>
      </c>
      <c r="H16" s="5">
        <f t="shared" ca="1" si="7"/>
        <v>0</v>
      </c>
      <c r="I16" s="18">
        <f ca="1">IF(E16&gt;Console!B$26, IF(E16&lt;Console!B$27, (E16-Console!B$26)*Console!B$28/1000, (Console!B$27-Console!B$26)*Console!B$28/1000), 0)</f>
        <v>0</v>
      </c>
      <c r="J16" s="5">
        <f t="shared" ca="1" si="3"/>
        <v>0</v>
      </c>
      <c r="K16" s="5">
        <f t="shared" ca="1" si="4"/>
        <v>0</v>
      </c>
      <c r="L16" s="5">
        <f t="shared" ca="1" si="5"/>
        <v>0</v>
      </c>
      <c r="M16" s="5">
        <f t="shared" ca="1" si="5"/>
        <v>0</v>
      </c>
      <c r="N16" s="5">
        <f t="shared" ca="1" si="5"/>
        <v>0</v>
      </c>
      <c r="O16" s="5">
        <f t="shared" ca="1" si="5"/>
        <v>0</v>
      </c>
      <c r="P16" s="5">
        <f t="shared" ca="1" si="5"/>
        <v>0</v>
      </c>
      <c r="Q16" s="5">
        <f t="shared" ca="1" si="5"/>
        <v>0</v>
      </c>
      <c r="R16" s="5">
        <f t="shared" ca="1" si="5"/>
        <v>0</v>
      </c>
      <c r="S16" s="5">
        <f t="shared" ca="1" si="5"/>
        <v>0</v>
      </c>
      <c r="T16" s="18">
        <f t="shared" ca="1" si="5"/>
        <v>0</v>
      </c>
      <c r="U16" s="16">
        <f t="shared" ca="1" si="8"/>
        <v>1</v>
      </c>
      <c r="V16" s="16">
        <f t="shared" ca="1" si="6"/>
        <v>0</v>
      </c>
      <c r="W16" s="16">
        <f t="shared" ca="1" si="6"/>
        <v>0</v>
      </c>
      <c r="X16" s="16">
        <f t="shared" ca="1" si="6"/>
        <v>0</v>
      </c>
      <c r="Y16" s="16">
        <f t="shared" ca="1" si="6"/>
        <v>0</v>
      </c>
      <c r="Z16" s="16">
        <f t="shared" ca="1" si="6"/>
        <v>0</v>
      </c>
      <c r="AA16" s="16">
        <f t="shared" ca="1" si="6"/>
        <v>0</v>
      </c>
      <c r="AB16" s="16">
        <f t="shared" ca="1" si="6"/>
        <v>0</v>
      </c>
      <c r="AC16" s="16">
        <f t="shared" ca="1" si="6"/>
        <v>0</v>
      </c>
      <c r="AD16" s="16">
        <f t="shared" ca="1" si="6"/>
        <v>0</v>
      </c>
      <c r="AE16" s="16">
        <f t="shared" ca="1" si="6"/>
        <v>0</v>
      </c>
      <c r="AF16" s="23">
        <f ca="1">SUMIFS(INDIRECT("'"&amp;A$7&amp;" - NRPY'!$O:$O"), INDIRECT("'"&amp;A$7&amp;" - NRPY'!$A:$A"), "&gt;"&amp;INDEX(Console!$A$6:$E$14, MATCH($A16, Console!$A$6:$A$14, 0), MATCH(A$7, Console!$A$6:$E$6, 0)), INDIRECT("'"&amp;A$7&amp;" - NRPY'!$A:$A"), IFERROR("&lt;="&amp;IF(INDEX(Console!$A$6:$E$14, MATCH($A16, Console!$A$6:$A$14, 0)+1, MATCH(A$7, Console!$A$6:$E$6, 0))=0, NA(), INDEX(Console!$A$6:$E$14, MATCH($A16, Console!$A$6:$A$14, 0)+1, MATCH(A$7, Console!$A$6:$E$6, 0))),"&gt;0"))</f>
        <v>0</v>
      </c>
    </row>
    <row r="17" spans="1:32" x14ac:dyDescent="0.25">
      <c r="A17" s="20">
        <f>Console!A15</f>
        <v>0</v>
      </c>
      <c r="B17" s="8">
        <f>Console!B15</f>
        <v>0</v>
      </c>
      <c r="C17" s="5">
        <f ca="1">SUMIFS(INDIRECT("'"&amp;A$7&amp;" - NRPY'!$G:$G"), INDIRECT("'"&amp;A$7&amp;" - NRPY'!$A:$A"), "&gt;"&amp;INDEX(Console!$A$6:$E$14, MATCH($A17, Console!$A$6:$A$14, 0), MATCH(A$7, Console!$A$6:$E$6, 0)), INDIRECT("'"&amp;A$7&amp;" - NRPY'!$A:$A"), IFERROR("&lt;="&amp;IF(INDEX(Console!$A$6:$E$14, MATCH($A17, Console!$A$6:$A$14, 0)+1, MATCH(A$7, Console!$A$6:$E$6, 0))=0, NA(), INDEX(Console!$A$6:$E$14, MATCH($A17, Console!$A$6:$A$14, 0)+1, MATCH(A$7, Console!$A$6:$E$6, 0))),"&gt;0"))</f>
        <v>0</v>
      </c>
      <c r="D17" s="5">
        <f ca="1">SUMIFS(INDIRECT("'"&amp;A$7&amp;" - NRPY'!$C:$C"), INDIRECT("'"&amp;A$7&amp;" - NRPY'!$A:$A"), "&gt;"&amp;INDEX(Console!$A$6:$E$14, MATCH($A17, Console!$A$6:$A$14, 0), MATCH(A$7, Console!$A$6:$E$6, 0)), INDIRECT("'"&amp;A$7&amp;" - NRPY'!$A:$A"), IFERROR("&lt;="&amp;IF(INDEX(Console!$A$6:$E$14, MATCH($A17, Console!$A$6:$A$14, 0)+1, MATCH(A$7, Console!$A$6:$E$6, 0))=0, NA(), INDEX(Console!$A$6:$E$14, MATCH($A17, Console!$A$6:$A$14, 0)+1, MATCH(A$7, Console!$A$6:$E$6, 0))),"&gt;0"))</f>
        <v>0</v>
      </c>
      <c r="E17" s="5">
        <f t="shared" ca="1" si="2"/>
        <v>0</v>
      </c>
      <c r="F17">
        <f ca="1">IF(E17&lt;Console!B$21, Console!B$20, MAX((Console!B$22-E17)/1000*Console!B$23, 0))</f>
        <v>15000</v>
      </c>
      <c r="G17">
        <f ca="1">IF(E17&gt;Console!B$31, MIN((E17-Console!B$31)*Console!B$33/1000, Console!B$32), 0)+IF(E17&gt;Console!B$36, MIN((E17-Console!B$36)*Console!B$38/1000, Console!B$37), 0)</f>
        <v>0</v>
      </c>
      <c r="H17" s="5">
        <f t="shared" ca="1" si="7"/>
        <v>0</v>
      </c>
      <c r="I17" s="18">
        <f ca="1">IF(E17&gt;Console!B$26, IF(E17&lt;Console!B$27, (E17-Console!B$26)*Console!B$28/1000, (Console!B$27-Console!B$26)*Console!B$28/1000), 0)</f>
        <v>0</v>
      </c>
      <c r="J17" s="5">
        <f t="shared" ca="1" si="3"/>
        <v>0</v>
      </c>
      <c r="K17" s="5">
        <f t="shared" ca="1" si="4"/>
        <v>0</v>
      </c>
      <c r="L17" s="5">
        <f t="shared" ca="1" si="5"/>
        <v>0</v>
      </c>
      <c r="M17" s="5">
        <f t="shared" ca="1" si="5"/>
        <v>0</v>
      </c>
      <c r="N17" s="5">
        <f t="shared" ca="1" si="5"/>
        <v>0</v>
      </c>
      <c r="O17" s="5">
        <f t="shared" ca="1" si="5"/>
        <v>0</v>
      </c>
      <c r="P17" s="5">
        <f t="shared" ca="1" si="5"/>
        <v>0</v>
      </c>
      <c r="Q17" s="5">
        <f t="shared" ca="1" si="5"/>
        <v>0</v>
      </c>
      <c r="R17" s="5">
        <f t="shared" ca="1" si="5"/>
        <v>0</v>
      </c>
      <c r="S17" s="5">
        <f t="shared" ca="1" si="5"/>
        <v>0</v>
      </c>
      <c r="T17" s="18">
        <f t="shared" ca="1" si="5"/>
        <v>0</v>
      </c>
      <c r="U17" s="16">
        <f t="shared" ca="1" si="8"/>
        <v>1</v>
      </c>
      <c r="V17" s="16">
        <f t="shared" ca="1" si="6"/>
        <v>0</v>
      </c>
      <c r="W17" s="16">
        <f t="shared" ca="1" si="6"/>
        <v>0</v>
      </c>
      <c r="X17" s="16">
        <f t="shared" ca="1" si="6"/>
        <v>0</v>
      </c>
      <c r="Y17" s="16">
        <f t="shared" ca="1" si="6"/>
        <v>0</v>
      </c>
      <c r="Z17" s="16">
        <f t="shared" ca="1" si="6"/>
        <v>0</v>
      </c>
      <c r="AA17" s="16">
        <f t="shared" ca="1" si="6"/>
        <v>0</v>
      </c>
      <c r="AB17" s="16">
        <f t="shared" ca="1" si="6"/>
        <v>0</v>
      </c>
      <c r="AC17" s="16">
        <f t="shared" ca="1" si="6"/>
        <v>0</v>
      </c>
      <c r="AD17" s="16">
        <f t="shared" ca="1" si="6"/>
        <v>0</v>
      </c>
      <c r="AE17" s="16">
        <f t="shared" ca="1" si="6"/>
        <v>0</v>
      </c>
      <c r="AF17" s="23">
        <f ca="1">SUMIFS(INDIRECT("'"&amp;A$7&amp;" - NRPY'!$O:$O"), INDIRECT("'"&amp;A$7&amp;" - NRPY'!$A:$A"), "&gt;"&amp;INDEX(Console!$A$6:$E$14, MATCH($A17, Console!$A$6:$A$14, 0), MATCH(A$7, Console!$A$6:$E$6, 0)), INDIRECT("'"&amp;A$7&amp;" - NRPY'!$A:$A"), IFERROR("&lt;="&amp;IF(INDEX(Console!$A$6:$E$14, MATCH($A17, Console!$A$6:$A$14, 0)+1, MATCH(A$7, Console!$A$6:$E$6, 0))=0, NA(), INDEX(Console!$A$6:$E$14, MATCH($A17, Console!$A$6:$A$14, 0)+1, MATCH(A$7, Console!$A$6:$E$6, 0))),"&gt;0"))</f>
        <v>0</v>
      </c>
    </row>
    <row r="18" spans="1:32" x14ac:dyDescent="0.25">
      <c r="A18" s="20">
        <f>Console!A16</f>
        <v>0</v>
      </c>
      <c r="B18" s="8">
        <f>Console!B16</f>
        <v>0</v>
      </c>
      <c r="C18" s="5">
        <f ca="1">SUMIFS(INDIRECT("'"&amp;A$7&amp;" - NRPY'!$G:$G"), INDIRECT("'"&amp;A$7&amp;" - NRPY'!$A:$A"), "&gt;"&amp;INDEX(Console!$A$6:$E$14, MATCH($A18, Console!$A$6:$A$14, 0), MATCH(A$7, Console!$A$6:$E$6, 0)), INDIRECT("'"&amp;A$7&amp;" - NRPY'!$A:$A"), IFERROR("&lt;="&amp;IF(INDEX(Console!$A$6:$E$14, MATCH($A18, Console!$A$6:$A$14, 0)+1, MATCH(A$7, Console!$A$6:$E$6, 0))=0, NA(), INDEX(Console!$A$6:$E$14, MATCH($A18, Console!$A$6:$A$14, 0)+1, MATCH(A$7, Console!$A$6:$E$6, 0))),"&gt;0"))</f>
        <v>0</v>
      </c>
      <c r="D18" s="5">
        <f ca="1">SUMIFS(INDIRECT("'"&amp;A$7&amp;" - NRPY'!$C:$C"), INDIRECT("'"&amp;A$7&amp;" - NRPY'!$A:$A"), "&gt;"&amp;INDEX(Console!$A$6:$E$14, MATCH($A18, Console!$A$6:$A$14, 0), MATCH(A$7, Console!$A$6:$E$6, 0)), INDIRECT("'"&amp;A$7&amp;" - NRPY'!$A:$A"), IFERROR("&lt;="&amp;IF(INDEX(Console!$A$6:$E$14, MATCH($A18, Console!$A$6:$A$14, 0)+1, MATCH(A$7, Console!$A$6:$E$6, 0))=0, NA(), INDEX(Console!$A$6:$E$14, MATCH($A18, Console!$A$6:$A$14, 0)+1, MATCH(A$7, Console!$A$6:$E$6, 0))),"&gt;0"))</f>
        <v>0</v>
      </c>
      <c r="E18" s="5">
        <f t="shared" ca="1" si="2"/>
        <v>0</v>
      </c>
      <c r="F18">
        <f ca="1">IF(E18&lt;Console!B$21, Console!B$20, MAX((Console!B$22-E18)/1000*Console!B$23, 0))</f>
        <v>15000</v>
      </c>
      <c r="G18">
        <f ca="1">IF(E18&gt;Console!B$31, MIN((E18-Console!B$31)*Console!B$33/1000, Console!B$32), 0)+IF(E18&gt;Console!B$36, MIN((E18-Console!B$36)*Console!B$38/1000, Console!B$37), 0)</f>
        <v>0</v>
      </c>
      <c r="H18" s="5">
        <f t="shared" ca="1" si="7"/>
        <v>0</v>
      </c>
      <c r="I18" s="18">
        <f ca="1">IF(E18&gt;Console!B$26, IF(E18&lt;Console!B$27, (E18-Console!B$26)*Console!B$28/1000, (Console!B$27-Console!B$26)*Console!B$28/1000), 0)</f>
        <v>0</v>
      </c>
      <c r="J18" s="5">
        <f t="shared" ca="1" si="3"/>
        <v>0</v>
      </c>
      <c r="K18" s="5">
        <f t="shared" ca="1" si="4"/>
        <v>0</v>
      </c>
      <c r="L18" s="5">
        <f t="shared" ca="1" si="5"/>
        <v>0</v>
      </c>
      <c r="M18" s="5">
        <f t="shared" ca="1" si="5"/>
        <v>0</v>
      </c>
      <c r="N18" s="5">
        <f t="shared" ca="1" si="5"/>
        <v>0</v>
      </c>
      <c r="O18" s="5">
        <f t="shared" ca="1" si="5"/>
        <v>0</v>
      </c>
      <c r="P18" s="5">
        <f t="shared" ca="1" si="5"/>
        <v>0</v>
      </c>
      <c r="Q18" s="5">
        <f t="shared" ca="1" si="5"/>
        <v>0</v>
      </c>
      <c r="R18" s="5">
        <f t="shared" ca="1" si="5"/>
        <v>0</v>
      </c>
      <c r="S18" s="5">
        <f t="shared" ca="1" si="5"/>
        <v>0</v>
      </c>
      <c r="T18" s="18">
        <f t="shared" ca="1" si="5"/>
        <v>0</v>
      </c>
      <c r="U18" s="16">
        <f t="shared" ca="1" si="8"/>
        <v>1</v>
      </c>
      <c r="V18" s="16">
        <f t="shared" ca="1" si="6"/>
        <v>0</v>
      </c>
      <c r="W18" s="16">
        <f t="shared" ca="1" si="6"/>
        <v>0</v>
      </c>
      <c r="X18" s="16">
        <f t="shared" ca="1" si="6"/>
        <v>0</v>
      </c>
      <c r="Y18" s="16">
        <f t="shared" ca="1" si="6"/>
        <v>0</v>
      </c>
      <c r="Z18" s="16">
        <f t="shared" ca="1" si="6"/>
        <v>0</v>
      </c>
      <c r="AA18" s="16">
        <f t="shared" ca="1" si="6"/>
        <v>0</v>
      </c>
      <c r="AB18" s="16">
        <f t="shared" ca="1" si="6"/>
        <v>0</v>
      </c>
      <c r="AC18" s="16">
        <f t="shared" ca="1" si="6"/>
        <v>0</v>
      </c>
      <c r="AD18" s="16">
        <f t="shared" ca="1" si="6"/>
        <v>0</v>
      </c>
      <c r="AE18" s="16">
        <f t="shared" ca="1" si="6"/>
        <v>0</v>
      </c>
      <c r="AF18" s="23">
        <f ca="1">SUMIFS(INDIRECT("'"&amp;A$7&amp;" - NRPY'!$O:$O"), INDIRECT("'"&amp;A$7&amp;" - NRPY'!$A:$A"), "&gt;"&amp;INDEX(Console!$A$6:$E$14, MATCH($A18, Console!$A$6:$A$14, 0), MATCH(A$7, Console!$A$6:$E$6, 0)), INDIRECT("'"&amp;A$7&amp;" - NRPY'!$A:$A"), IFERROR("&lt;="&amp;IF(INDEX(Console!$A$6:$E$14, MATCH($A18, Console!$A$6:$A$14, 0)+1, MATCH(A$7, Console!$A$6:$E$6, 0))=0, NA(), INDEX(Console!$A$6:$E$14, MATCH($A18, Console!$A$6:$A$14, 0)+1, MATCH(A$7, Console!$A$6:$E$6, 0))),"&gt;0"))</f>
        <v>0</v>
      </c>
    </row>
    <row r="19" spans="1:32" x14ac:dyDescent="0.25">
      <c r="A19" s="20">
        <f>Console!A17</f>
        <v>0</v>
      </c>
      <c r="B19" s="8">
        <f>Console!B17</f>
        <v>0</v>
      </c>
      <c r="C19" s="5">
        <f ca="1">SUMIFS(INDIRECT("'"&amp;A$7&amp;" - NRPY'!$G:$G"), INDIRECT("'"&amp;A$7&amp;" - NRPY'!$A:$A"), "&gt;"&amp;INDEX(Console!$A$6:$E$14, MATCH($A19, Console!$A$6:$A$14, 0), MATCH(A$7, Console!$A$6:$E$6, 0)), INDIRECT("'"&amp;A$7&amp;" - NRPY'!$A:$A"), IFERROR("&lt;="&amp;IF(INDEX(Console!$A$6:$E$14, MATCH($A19, Console!$A$6:$A$14, 0)+1, MATCH(A$7, Console!$A$6:$E$6, 0))=0, NA(), INDEX(Console!$A$6:$E$14, MATCH($A19, Console!$A$6:$A$14, 0)+1, MATCH(A$7, Console!$A$6:$E$6, 0))),"&gt;0"))</f>
        <v>0</v>
      </c>
      <c r="D19" s="5">
        <f ca="1">SUMIFS(INDIRECT("'"&amp;A$7&amp;" - NRPY'!$C:$C"), INDIRECT("'"&amp;A$7&amp;" - NRPY'!$A:$A"), "&gt;"&amp;INDEX(Console!$A$6:$E$14, MATCH($A19, Console!$A$6:$A$14, 0), MATCH(A$7, Console!$A$6:$E$6, 0)), INDIRECT("'"&amp;A$7&amp;" - NRPY'!$A:$A"), IFERROR("&lt;="&amp;IF(INDEX(Console!$A$6:$E$14, MATCH($A19, Console!$A$6:$A$14, 0)+1, MATCH(A$7, Console!$A$6:$E$6, 0))=0, NA(), INDEX(Console!$A$6:$E$14, MATCH($A19, Console!$A$6:$A$14, 0)+1, MATCH(A$7, Console!$A$6:$E$6, 0))),"&gt;0"))</f>
        <v>0</v>
      </c>
      <c r="E19" s="5">
        <f t="shared" ca="1" si="2"/>
        <v>0</v>
      </c>
      <c r="F19">
        <f ca="1">IF(E19&lt;Console!B$21, Console!B$20, MAX((Console!B$22-E19)/1000*Console!B$23, 0))</f>
        <v>15000</v>
      </c>
      <c r="G19">
        <f ca="1">IF(E19&gt;Console!B$31, MIN((E19-Console!B$31)*Console!B$33/1000, Console!B$32), 0)+IF(E19&gt;Console!B$36, MIN((E19-Console!B$36)*Console!B$38/1000, Console!B$37), 0)</f>
        <v>0</v>
      </c>
      <c r="H19" s="5">
        <f t="shared" ca="1" si="7"/>
        <v>0</v>
      </c>
      <c r="I19" s="18">
        <f ca="1">IF(E19&gt;Console!B$26, IF(E19&lt;Console!B$27, (E19-Console!B$26)*Console!B$28/1000, (Console!B$27-Console!B$26)*Console!B$28/1000), 0)</f>
        <v>0</v>
      </c>
      <c r="J19" s="5">
        <f t="shared" ca="1" si="3"/>
        <v>0</v>
      </c>
      <c r="K19" s="5">
        <f t="shared" ca="1" si="4"/>
        <v>0</v>
      </c>
      <c r="L19" s="5">
        <f t="shared" ca="1" si="5"/>
        <v>0</v>
      </c>
      <c r="M19" s="5">
        <f t="shared" ca="1" si="5"/>
        <v>0</v>
      </c>
      <c r="N19" s="5">
        <f t="shared" ca="1" si="5"/>
        <v>0</v>
      </c>
      <c r="O19" s="5">
        <f t="shared" ca="1" si="5"/>
        <v>0</v>
      </c>
      <c r="P19" s="5">
        <f t="shared" ca="1" si="5"/>
        <v>0</v>
      </c>
      <c r="Q19" s="5">
        <f t="shared" ca="1" si="5"/>
        <v>0</v>
      </c>
      <c r="R19" s="5">
        <f t="shared" ca="1" si="5"/>
        <v>0</v>
      </c>
      <c r="S19" s="5">
        <f t="shared" ca="1" si="5"/>
        <v>0</v>
      </c>
      <c r="T19" s="18">
        <f t="shared" ca="1" si="5"/>
        <v>0</v>
      </c>
      <c r="U19" s="16">
        <f t="shared" ca="1" si="8"/>
        <v>1</v>
      </c>
      <c r="V19" s="16">
        <f t="shared" ca="1" si="6"/>
        <v>0</v>
      </c>
      <c r="W19" s="16">
        <f t="shared" ca="1" si="6"/>
        <v>0</v>
      </c>
      <c r="X19" s="16">
        <f t="shared" ca="1" si="6"/>
        <v>0</v>
      </c>
      <c r="Y19" s="16">
        <f t="shared" ca="1" si="6"/>
        <v>0</v>
      </c>
      <c r="Z19" s="16">
        <f t="shared" ca="1" si="6"/>
        <v>0</v>
      </c>
      <c r="AA19" s="16">
        <f t="shared" ca="1" si="6"/>
        <v>0</v>
      </c>
      <c r="AB19" s="16">
        <f t="shared" ca="1" si="6"/>
        <v>0</v>
      </c>
      <c r="AC19" s="16">
        <f t="shared" ca="1" si="6"/>
        <v>0</v>
      </c>
      <c r="AD19" s="16">
        <f t="shared" ca="1" si="6"/>
        <v>0</v>
      </c>
      <c r="AE19" s="16">
        <f t="shared" ca="1" si="6"/>
        <v>0</v>
      </c>
      <c r="AF19" s="23">
        <f ca="1">SUMIFS(INDIRECT("'"&amp;A$7&amp;" - NRPY'!$O:$O"), INDIRECT("'"&amp;A$7&amp;" - NRPY'!$A:$A"), "&gt;"&amp;INDEX(Console!$A$6:$E$14, MATCH($A19, Console!$A$6:$A$14, 0), MATCH(A$7, Console!$A$6:$E$6, 0)), INDIRECT("'"&amp;A$7&amp;" - NRPY'!$A:$A"), IFERROR("&lt;="&amp;IF(INDEX(Console!$A$6:$E$14, MATCH($A19, Console!$A$6:$A$14, 0)+1, MATCH(A$7, Console!$A$6:$E$6, 0))=0, NA(), INDEX(Console!$A$6:$E$14, MATCH($A19, Console!$A$6:$A$14, 0)+1, MATCH(A$7, Console!$A$6:$E$6, 0))),"&gt;0"))</f>
        <v>0</v>
      </c>
    </row>
    <row r="20" spans="1:32" x14ac:dyDescent="0.25">
      <c r="A20" s="71" t="s">
        <v>453</v>
      </c>
      <c r="B20" s="8"/>
      <c r="C20" s="5"/>
      <c r="D20" s="5"/>
      <c r="E20" s="5"/>
      <c r="I20" s="8"/>
      <c r="J20" s="5"/>
      <c r="K20" s="5"/>
      <c r="L20" s="5"/>
      <c r="M20" s="5"/>
      <c r="N20" s="5"/>
      <c r="O20" s="5"/>
      <c r="P20" s="5"/>
      <c r="Q20" s="5"/>
      <c r="R20" s="5"/>
      <c r="S20" s="5"/>
      <c r="T20" s="8"/>
      <c r="U20" s="16"/>
      <c r="V20" s="16"/>
      <c r="W20" s="16"/>
      <c r="X20" s="16"/>
      <c r="Y20" s="16"/>
      <c r="Z20" s="16"/>
      <c r="AA20" s="16"/>
      <c r="AB20" s="16"/>
      <c r="AC20" s="16"/>
      <c r="AD20" s="16"/>
      <c r="AE20" s="16"/>
      <c r="AF20" s="16"/>
    </row>
    <row r="21" spans="1:32" ht="18" thickBot="1" x14ac:dyDescent="0.35">
      <c r="A21" s="72" t="s">
        <v>67</v>
      </c>
    </row>
    <row r="22" spans="1:32" ht="30.75" thickTop="1" x14ac:dyDescent="0.25">
      <c r="A22" s="27" t="s">
        <v>69</v>
      </c>
      <c r="B22" s="27" t="s">
        <v>85</v>
      </c>
      <c r="C22" s="27" t="s">
        <v>74</v>
      </c>
      <c r="D22" s="27" t="s">
        <v>75</v>
      </c>
      <c r="E22" s="27" t="s">
        <v>76</v>
      </c>
      <c r="F22" s="27" t="s">
        <v>77</v>
      </c>
      <c r="G22" s="27" t="s">
        <v>131</v>
      </c>
      <c r="H22" s="27" t="s">
        <v>132</v>
      </c>
      <c r="I22" s="27" t="s">
        <v>87</v>
      </c>
      <c r="J22" s="28">
        <v>0.03</v>
      </c>
      <c r="K22" s="28">
        <v>0.05</v>
      </c>
      <c r="L22" s="28">
        <v>5.5E-2</v>
      </c>
      <c r="M22" s="28">
        <v>0.06</v>
      </c>
      <c r="N22" s="28">
        <v>6.5000000000000002E-2</v>
      </c>
      <c r="O22" s="28">
        <v>6.9000000000000006E-2</v>
      </c>
      <c r="P22" s="28">
        <v>6.9900000000000004E-2</v>
      </c>
      <c r="Q22" s="28">
        <v>0</v>
      </c>
      <c r="R22" s="28">
        <v>0</v>
      </c>
      <c r="S22" s="28">
        <v>0</v>
      </c>
      <c r="T22" s="28">
        <v>0</v>
      </c>
      <c r="U22" s="28">
        <v>0.03</v>
      </c>
      <c r="V22" s="28">
        <v>0.05</v>
      </c>
      <c r="W22" s="28">
        <v>5.5E-2</v>
      </c>
      <c r="X22" s="28">
        <v>0.06</v>
      </c>
      <c r="Y22" s="28">
        <v>6.5000000000000002E-2</v>
      </c>
      <c r="Z22" s="28">
        <v>6.9000000000000006E-2</v>
      </c>
      <c r="AA22" s="28">
        <v>6.9900000000000004E-2</v>
      </c>
      <c r="AB22" s="28">
        <v>0</v>
      </c>
      <c r="AC22" s="28">
        <v>0</v>
      </c>
      <c r="AD22" s="28">
        <v>0</v>
      </c>
      <c r="AE22" s="28">
        <v>0</v>
      </c>
      <c r="AF22" s="28" t="s">
        <v>362</v>
      </c>
    </row>
    <row r="23" spans="1:32" x14ac:dyDescent="0.25">
      <c r="A23" s="19">
        <f>Console!A7</f>
        <v>0.03</v>
      </c>
      <c r="B23" s="8">
        <f>Console!C7</f>
        <v>0</v>
      </c>
      <c r="C23" s="5">
        <f ca="1">SUMIFS(INDIRECT("'"&amp;A$21&amp;" - NRPY'!$G:$G"), INDIRECT("'"&amp;A$21&amp;" - NRPY'!$A:$A"), "&gt;"&amp;INDEX(Console!$A$6:$E$14, MATCH($A23, Console!$A$6:$A$123, 0), MATCH(A$21, Console!$A$6:$E$6, 0)), INDIRECT("'"&amp;A$21&amp;" - NRPY'!$A:$A"), IFERROR("&lt;="&amp;IF(INDEX(Console!$A$6:$E$14, MATCH($A23, Console!$A$6:$A$123, 0)+1, MATCH(A$21, Console!$A$6:$E$6, 0))=0, NA(), INDEX(Console!$A$6:$E$14, MATCH($A23, Console!$A$6:$A$123, 0)+1, MATCH(A$21, Console!$A$6:$E$6, 0))),"&gt;0"))</f>
        <v>42482561</v>
      </c>
      <c r="D23" s="5">
        <f ca="1">SUMIFS(INDIRECT("'"&amp;A$21&amp;" - NRPY'!$C:$C"), INDIRECT("'"&amp;A$21&amp;" - NRPY'!$A:$A"), "&gt;"&amp;INDEX(Console!$A$6:$E$14, MATCH($A9, Console!$A$6:$A$123, 0), MATCH(A$21, Console!$A$6:$E$6, 0)), INDIRECT("'"&amp;A$21&amp;" - NRPY'!$A:$A"), IFERROR("&lt;="&amp;IF(INDEX(Console!$A$6:$E$14, MATCH($A9, Console!$A$6:$A$123, 0)+1, MATCH(A$21, Console!$A$6:$E$6, 0))=0, NA(), INDEX(Console!$A$6:$E$14, MATCH($A9, Console!$A$6:$A$123, 0)+1, MATCH(A$21, Console!$A$6:$E$6, 0))),"&gt;0"))</f>
        <v>3643</v>
      </c>
      <c r="E23" s="5">
        <f t="shared" ref="E23:E33" ca="1" si="9">IFERROR(C23/D23, 0)</f>
        <v>11661.422179522371</v>
      </c>
      <c r="F23">
        <f ca="1">IF(E23&lt;Console!C$21, Console!C$20, MAX((Console!C$22-E23)/1000*Console!C$23, 0))</f>
        <v>24000</v>
      </c>
      <c r="G23">
        <f ca="1">IF(E23&gt;Console!C$31, MIN((E23-Console!C$31)*Console!C$33/1000, Console!C$32), 0)+IF(E23&gt;Console!C$36, MIN((E23-Console!C$36)*Console!C$38/1000, Console!C$37), 0)</f>
        <v>0</v>
      </c>
      <c r="H23" s="5">
        <f t="shared" ref="H23:H33" ca="1" si="10">G23*D23</f>
        <v>0</v>
      </c>
      <c r="I23" s="17">
        <f ca="1">IF(E23&gt;Console!C$26, IF(E23&lt;Console!C$27, (E23-Console!C$26)*Console!C$28/1000, (Console!C$27-Console!C$26)*Console!C$28/1000), 0)</f>
        <v>0</v>
      </c>
      <c r="J23" s="5">
        <f t="shared" ref="J23:J33" ca="1" si="11">MAX(IF(AND(($E23-$F23)&gt;INDEX($B$23:$B$33, MATCH(J$8,$A$23:$A$33, 0)+1, 0), INDEX($B$23:$B$33, MATCH(J$8,$A$23:$A$33, 0)+1, 0) - INDEX($B$23:$B$33, MATCH(J$8,$A$23:$A$33, 0), 0) &gt;= 0), INDEX($B$23:$B$33, MATCH(J$8,$A$23:$A$33, 0) +1, 0)-INDEX($B$23:$B$33, MATCH(J$8,$A$23:$A$33, 0), 0)-$I23, MAX($E23-$F23, 0) - INDEX($B$23:$B$33, MATCH(J$8,$A$23:$A$33, 0), 0)), 0)</f>
        <v>0</v>
      </c>
      <c r="K23" s="5">
        <f t="shared" ref="K23:K33" ca="1" si="12">MAX(IF(AND(($E23-$F23)&gt;INDEX($B$23:$B$33, MATCH(K$8,$A$23:$A$33, 0)+1, 0), INDEX($B$23:$B$33, MATCH(K$8,$A$23:$A$33, 0)+1, 0) - INDEX($B$23:$B$33, MATCH(K$8,$A$23:$A$33, 0), 0) &gt;= 0), INDEX($B$23:$B$33, MATCH(K$8,$A$23:$A$33, 0) +1, 0)-INDEX($B$23:$B$33, MATCH(K$8,$A$23:$A$33, 0), 0)+$I23, MAX($E23-$F23, 0) - INDEX($B$23:$B$33, MATCH(K$8,$A$23:$A$33, 0), 0)), 0)</f>
        <v>0</v>
      </c>
      <c r="L23" s="5">
        <f t="shared" ref="L23:T33" ca="1" si="13">MAX(IF(AND(($E23-$F23)&gt;INDEX($B$23:$B$33, MATCH(L$8,$A$23:$A$33, 0)+1, 0), INDEX($B$23:$B$33, MATCH(L$8,$A$23:$A$33, 0)+1, 0) - INDEX($B$23:$B$33, MATCH(L$8,$A$23:$A$33, 0), 0) &gt;= 0), INDEX($B$23:$B$33, MATCH(L$8,$A$23:$A$33, 0) +1, 0)-INDEX($B$23:$B$33, MATCH(L$8,$A$23:$A$33, 0), 0), MAX($E23-$F23, 0) - INDEX($B$23:$B$33, MATCH(L$8,$A$23:$A$33, 0), 0)), 0)</f>
        <v>0</v>
      </c>
      <c r="M23" s="5">
        <f t="shared" ca="1" si="13"/>
        <v>0</v>
      </c>
      <c r="N23" s="5">
        <f t="shared" ca="1" si="13"/>
        <v>0</v>
      </c>
      <c r="O23" s="5">
        <f t="shared" ca="1" si="13"/>
        <v>0</v>
      </c>
      <c r="P23" s="5">
        <f t="shared" ca="1" si="13"/>
        <v>0</v>
      </c>
      <c r="Q23" s="5">
        <f t="shared" ca="1" si="13"/>
        <v>0</v>
      </c>
      <c r="R23" s="5">
        <f t="shared" ca="1" si="13"/>
        <v>0</v>
      </c>
      <c r="S23" s="5">
        <f t="shared" ca="1" si="13"/>
        <v>0</v>
      </c>
      <c r="T23" s="17">
        <f t="shared" ca="1" si="13"/>
        <v>0</v>
      </c>
      <c r="U23" s="16">
        <f t="shared" ref="U23:U33" ca="1" si="14">IFERROR(1 - SUM(V23:AE23), 0)</f>
        <v>1</v>
      </c>
      <c r="V23" s="16">
        <f t="shared" ref="V23:AE33" ca="1" si="15">IFERROR(K23/SUM($J23:$T23), 0)</f>
        <v>0</v>
      </c>
      <c r="W23" s="16">
        <f t="shared" ca="1" si="15"/>
        <v>0</v>
      </c>
      <c r="X23" s="16">
        <f t="shared" ca="1" si="15"/>
        <v>0</v>
      </c>
      <c r="Y23" s="16">
        <f t="shared" ca="1" si="15"/>
        <v>0</v>
      </c>
      <c r="Z23" s="16">
        <f t="shared" ca="1" si="15"/>
        <v>0</v>
      </c>
      <c r="AA23" s="16">
        <f t="shared" ca="1" si="15"/>
        <v>0</v>
      </c>
      <c r="AB23" s="16">
        <f t="shared" ca="1" si="15"/>
        <v>0</v>
      </c>
      <c r="AC23" s="16">
        <f t="shared" ca="1" si="15"/>
        <v>0</v>
      </c>
      <c r="AD23" s="16">
        <f t="shared" ca="1" si="15"/>
        <v>0</v>
      </c>
      <c r="AE23" s="16">
        <f t="shared" ca="1" si="15"/>
        <v>0</v>
      </c>
      <c r="AF23" s="23">
        <f ca="1">SUMIFS(INDIRECT("'"&amp;A$21&amp;" - NRPY'!$O:$O"), INDIRECT("'"&amp;A$21&amp;" - NRPY'!$A:$A"), "&gt;"&amp;INDEX(Console!$A$6:$E$14, MATCH($A9, Console!$A$6:$A$123, 0), MATCH(A$21, Console!$A$6:$E$6, 0)), INDIRECT("'"&amp;A$21&amp;" - NRPY'!$A:$A"), IFERROR("&lt;="&amp;IF(INDEX(Console!$A$6:$E$14, MATCH($A9, Console!$A$6:$A$123, 0)+1, MATCH(A$21, Console!$A$6:$E$6, 0))=0, NA(), INDEX(Console!$A$6:$E$14, MATCH($A9, Console!$A$6:$A$123, 0)+1, MATCH(A$21, Console!$A$6:$E$6, 0))),"&gt;0"))</f>
        <v>139323</v>
      </c>
    </row>
    <row r="24" spans="1:32" x14ac:dyDescent="0.25">
      <c r="A24" s="20">
        <f>Console!A8</f>
        <v>0.05</v>
      </c>
      <c r="B24" s="8">
        <f>Console!C8</f>
        <v>20000</v>
      </c>
      <c r="C24" s="5">
        <f ca="1">SUMIFS(INDIRECT("'"&amp;A$21&amp;" - NRPY'!$G:$G"), INDIRECT("'"&amp;A$21&amp;" - NRPY'!$A:$A"), "&gt;"&amp;INDEX(Console!$A$6:$E$14, MATCH($A24, Console!$A$6:$A$123, 0), MATCH(A$21, Console!$A$6:$E$6, 0)), INDIRECT("'"&amp;A$21&amp;" - NRPY'!$A:$A"), IFERROR("&lt;="&amp;IF(INDEX(Console!$A$6:$E$14, MATCH($A24, Console!$A$6:$A$123, 0)+1, MATCH(A$21, Console!$A$6:$E$6, 0))=0, NA(), INDEX(Console!$A$6:$E$14, MATCH($A24, Console!$A$6:$A$123, 0)+1, MATCH(A$21, Console!$A$6:$E$6, 0))),"&gt;0"))</f>
        <v>1739083640</v>
      </c>
      <c r="D24" s="5">
        <f ca="1">SUMIFS(INDIRECT("'"&amp;A$21&amp;" - NRPY'!$C:$C"), INDIRECT("'"&amp;A$21&amp;" - NRPY'!$A:$A"), "&gt;"&amp;INDEX(Console!$A$6:$E$14, MATCH($A10, Console!$A$6:$A$123, 0), MATCH(A$21, Console!$A$6:$E$6, 0)), INDIRECT("'"&amp;A$21&amp;" - NRPY'!$A:$A"), IFERROR("&lt;="&amp;IF(INDEX(Console!$A$6:$E$14, MATCH($A10, Console!$A$6:$A$123, 0)+1, MATCH(A$21, Console!$A$6:$E$6, 0))=0, NA(), INDEX(Console!$A$6:$E$14, MATCH($A10, Console!$A$6:$A$123, 0)+1, MATCH(A$21, Console!$A$6:$E$6, 0))),"&gt;0"))</f>
        <v>28205</v>
      </c>
      <c r="E24" s="5">
        <f t="shared" ca="1" si="9"/>
        <v>61658.700230455594</v>
      </c>
      <c r="F24">
        <f ca="1">IF(E24&lt;Console!C$21, Console!C$20, MAX((Console!C$22-E24)/1000*Console!C$23, 0))</f>
        <v>10341.299769544406</v>
      </c>
      <c r="G24">
        <f ca="1">IF(E24&gt;Console!C$31, MIN((E24-Console!C$31)*Console!C$33/1000, Console!C$32), 0)+IF(E24&gt;Console!C$36, MIN((E24-Console!C$36)*Console!C$38/1000, Console!C$37), 0)</f>
        <v>0</v>
      </c>
      <c r="H24" s="5">
        <f t="shared" ca="1" si="10"/>
        <v>0</v>
      </c>
      <c r="I24" s="18">
        <f ca="1">IF(E24&gt;Console!C$26, IF(E24&lt;Console!C$27, (E24-Console!C$26)*Console!C$28/1000, (Console!C$27-Console!C$26)*Console!C$28/1000), 0)</f>
        <v>0</v>
      </c>
      <c r="J24" s="5">
        <f t="shared" ca="1" si="11"/>
        <v>20000</v>
      </c>
      <c r="K24" s="5">
        <f t="shared" ca="1" si="12"/>
        <v>31317.400460911187</v>
      </c>
      <c r="L24" s="5">
        <f t="shared" ca="1" si="13"/>
        <v>0</v>
      </c>
      <c r="M24" s="5">
        <f t="shared" ca="1" si="13"/>
        <v>0</v>
      </c>
      <c r="N24" s="5">
        <f t="shared" ca="1" si="13"/>
        <v>0</v>
      </c>
      <c r="O24" s="5">
        <f t="shared" ca="1" si="13"/>
        <v>0</v>
      </c>
      <c r="P24" s="5">
        <f t="shared" ca="1" si="13"/>
        <v>0</v>
      </c>
      <c r="Q24" s="5">
        <f t="shared" ca="1" si="13"/>
        <v>0</v>
      </c>
      <c r="R24" s="5">
        <f t="shared" ca="1" si="13"/>
        <v>0</v>
      </c>
      <c r="S24" s="5">
        <f t="shared" ca="1" si="13"/>
        <v>0</v>
      </c>
      <c r="T24" s="18">
        <f t="shared" ca="1" si="13"/>
        <v>0</v>
      </c>
      <c r="U24" s="16">
        <f t="shared" ca="1" si="14"/>
        <v>0.38973135467440789</v>
      </c>
      <c r="V24" s="16">
        <f t="shared" ca="1" si="15"/>
        <v>0.61026864532559211</v>
      </c>
      <c r="W24" s="16">
        <f t="shared" ca="1" si="15"/>
        <v>0</v>
      </c>
      <c r="X24" s="16">
        <f t="shared" ca="1" si="15"/>
        <v>0</v>
      </c>
      <c r="Y24" s="16">
        <f t="shared" ca="1" si="15"/>
        <v>0</v>
      </c>
      <c r="Z24" s="16">
        <f t="shared" ca="1" si="15"/>
        <v>0</v>
      </c>
      <c r="AA24" s="16">
        <f t="shared" ca="1" si="15"/>
        <v>0</v>
      </c>
      <c r="AB24" s="16">
        <f t="shared" ca="1" si="15"/>
        <v>0</v>
      </c>
      <c r="AC24" s="16">
        <f t="shared" ca="1" si="15"/>
        <v>0</v>
      </c>
      <c r="AD24" s="16">
        <f t="shared" ca="1" si="15"/>
        <v>0</v>
      </c>
      <c r="AE24" s="16">
        <f t="shared" ca="1" si="15"/>
        <v>0</v>
      </c>
      <c r="AF24" s="23">
        <f ca="1">SUMIFS(INDIRECT("'"&amp;A$21&amp;" - NRPY'!$O:$O"), INDIRECT("'"&amp;A$21&amp;" - NRPY'!$A:$A"), "&gt;"&amp;INDEX(Console!$A$6:$E$14, MATCH($A10, Console!$A$6:$A$123, 0), MATCH(A$21, Console!$A$6:$E$6, 0)), INDIRECT("'"&amp;A$21&amp;" - NRPY'!$A:$A"), IFERROR("&lt;="&amp;IF(INDEX(Console!$A$6:$E$14, MATCH($A10, Console!$A$6:$A$123, 0)+1, MATCH(A$21, Console!$A$6:$E$6, 0))=0, NA(), INDEX(Console!$A$6:$E$14, MATCH($A10, Console!$A$6:$A$123, 0)+1, MATCH(A$21, Console!$A$6:$E$6, 0))),"&gt;0"))</f>
        <v>22222269</v>
      </c>
    </row>
    <row r="25" spans="1:32" x14ac:dyDescent="0.25">
      <c r="A25" s="20">
        <f>Console!A9</f>
        <v>5.5E-2</v>
      </c>
      <c r="B25" s="8">
        <f>Console!C9</f>
        <v>100000</v>
      </c>
      <c r="C25" s="5">
        <f ca="1">SUMIFS(INDIRECT("'"&amp;A$21&amp;" - NRPY'!$G:$G"), INDIRECT("'"&amp;A$21&amp;" - NRPY'!$A:$A"), "&gt;"&amp;INDEX(Console!$A$6:$E$14, MATCH($A25, Console!$A$6:$A$123, 0), MATCH(A$21, Console!$A$6:$E$6, 0)), INDIRECT("'"&amp;A$21&amp;" - NRPY'!$A:$A"), IFERROR("&lt;="&amp;IF(INDEX(Console!$A$6:$E$14, MATCH($A25, Console!$A$6:$A$123, 0)+1, MATCH(A$21, Console!$A$6:$E$6, 0))=0, NA(), INDEX(Console!$A$6:$E$14, MATCH($A25, Console!$A$6:$A$123, 0)+1, MATCH(A$21, Console!$A$6:$E$6, 0))),"&gt;0"))</f>
        <v>4724932441</v>
      </c>
      <c r="D25" s="5">
        <f ca="1">SUMIFS(INDIRECT("'"&amp;A$21&amp;" - NRPY'!$C:$C"), INDIRECT("'"&amp;A$21&amp;" - NRPY'!$A:$A"), "&gt;"&amp;INDEX(Console!$A$6:$E$14, MATCH($A11, Console!$A$6:$A$123, 0), MATCH(A$21, Console!$A$6:$E$6, 0)), INDIRECT("'"&amp;A$21&amp;" - NRPY'!$A:$A"), IFERROR("&lt;="&amp;IF(INDEX(Console!$A$6:$E$14, MATCH($A11, Console!$A$6:$A$123, 0)+1, MATCH(A$21, Console!$A$6:$E$6, 0))=0, NA(), INDEX(Console!$A$6:$E$14, MATCH($A11, Console!$A$6:$A$123, 0)+1, MATCH(A$21, Console!$A$6:$E$6, 0))),"&gt;0"))</f>
        <v>32790</v>
      </c>
      <c r="E25" s="5">
        <f t="shared" ca="1" si="9"/>
        <v>144096.75025922537</v>
      </c>
      <c r="F25">
        <f ca="1">IF(E25&lt;Console!C$21, Console!C$20, MAX((Console!C$22-E25)/1000*Console!C$23, 0))</f>
        <v>0</v>
      </c>
      <c r="G25">
        <f ca="1">IF(E25&gt;Console!C$31, MIN((E25-Console!C$31)*Console!C$33/1000, Console!C$32), 0)+IF(E25&gt;Console!C$36, MIN((E25-Console!C$36)*Console!C$38/1000, Console!C$37), 0)</f>
        <v>0</v>
      </c>
      <c r="H25" s="5">
        <f t="shared" ca="1" si="10"/>
        <v>0</v>
      </c>
      <c r="I25" s="18">
        <f ca="1">IF(E25&gt;Console!C$26, IF(E25&lt;Console!C$27, (E25-Console!C$26)*Console!C$28/1000, (Console!C$27-Console!C$26)*Console!C$28/1000), 0)</f>
        <v>17438.700103690146</v>
      </c>
      <c r="J25" s="5">
        <f t="shared" ca="1" si="11"/>
        <v>2561.2998963098544</v>
      </c>
      <c r="K25" s="5">
        <f t="shared" ca="1" si="12"/>
        <v>97438.700103690149</v>
      </c>
      <c r="L25" s="5">
        <f t="shared" ca="1" si="13"/>
        <v>44096.750259225373</v>
      </c>
      <c r="M25" s="5">
        <f t="shared" ca="1" si="13"/>
        <v>0</v>
      </c>
      <c r="N25" s="5">
        <f t="shared" ca="1" si="13"/>
        <v>0</v>
      </c>
      <c r="O25" s="5">
        <f t="shared" ca="1" si="13"/>
        <v>0</v>
      </c>
      <c r="P25" s="5">
        <f t="shared" ca="1" si="13"/>
        <v>0</v>
      </c>
      <c r="Q25" s="5">
        <f t="shared" ca="1" si="13"/>
        <v>0</v>
      </c>
      <c r="R25" s="5">
        <f t="shared" ca="1" si="13"/>
        <v>0</v>
      </c>
      <c r="S25" s="5">
        <f t="shared" ca="1" si="13"/>
        <v>0</v>
      </c>
      <c r="T25" s="18">
        <f t="shared" ca="1" si="13"/>
        <v>0</v>
      </c>
      <c r="U25" s="16">
        <f t="shared" ca="1" si="14"/>
        <v>1.777486231786729E-2</v>
      </c>
      <c r="V25" s="16">
        <f t="shared" ca="1" si="15"/>
        <v>0.67620331428988578</v>
      </c>
      <c r="W25" s="16">
        <f t="shared" ca="1" si="15"/>
        <v>0.30602182339224687</v>
      </c>
      <c r="X25" s="16">
        <f t="shared" ca="1" si="15"/>
        <v>0</v>
      </c>
      <c r="Y25" s="16">
        <f t="shared" ca="1" si="15"/>
        <v>0</v>
      </c>
      <c r="Z25" s="16">
        <f t="shared" ca="1" si="15"/>
        <v>0</v>
      </c>
      <c r="AA25" s="16">
        <f t="shared" ca="1" si="15"/>
        <v>0</v>
      </c>
      <c r="AB25" s="16">
        <f t="shared" ca="1" si="15"/>
        <v>0</v>
      </c>
      <c r="AC25" s="16">
        <f t="shared" ca="1" si="15"/>
        <v>0</v>
      </c>
      <c r="AD25" s="16">
        <f t="shared" ca="1" si="15"/>
        <v>0</v>
      </c>
      <c r="AE25" s="16">
        <f t="shared" ca="1" si="15"/>
        <v>0</v>
      </c>
      <c r="AF25" s="23">
        <f ca="1">SUMIFS(INDIRECT("'"&amp;A$21&amp;" - NRPY'!$O:$O"), INDIRECT("'"&amp;A$21&amp;" - NRPY'!$A:$A"), "&gt;"&amp;INDEX(Console!$A$6:$E$14, MATCH($A11, Console!$A$6:$A$123, 0), MATCH(A$21, Console!$A$6:$E$6, 0)), INDIRECT("'"&amp;A$21&amp;" - NRPY'!$A:$A"), IFERROR("&lt;="&amp;IF(INDEX(Console!$A$6:$E$14, MATCH($A11, Console!$A$6:$A$123, 0)+1, MATCH(A$21, Console!$A$6:$E$6, 0))=0, NA(), INDEX(Console!$A$6:$E$14, MATCH($A11, Console!$A$6:$A$123, 0)+1, MATCH(A$21, Console!$A$6:$E$6, 0))),"&gt;0"))</f>
        <v>85647136</v>
      </c>
    </row>
    <row r="26" spans="1:32" x14ac:dyDescent="0.25">
      <c r="A26" s="20">
        <f>Console!A10</f>
        <v>0.06</v>
      </c>
      <c r="B26" s="8">
        <f>Console!C10</f>
        <v>200000</v>
      </c>
      <c r="C26" s="5">
        <f ca="1">SUMIFS(INDIRECT("'"&amp;A$21&amp;" - NRPY'!$G:$G"), INDIRECT("'"&amp;A$21&amp;" - NRPY'!$A:$A"), "&gt;"&amp;INDEX(Console!$A$6:$E$14, MATCH($A26, Console!$A$6:$A$123, 0), MATCH(A$21, Console!$A$6:$E$6, 0)), INDIRECT("'"&amp;A$21&amp;" - NRPY'!$A:$A"), IFERROR("&lt;="&amp;IF(INDEX(Console!$A$6:$E$14, MATCH($A26, Console!$A$6:$A$123, 0)+1, MATCH(A$21, Console!$A$6:$E$6, 0))=0, NA(), INDEX(Console!$A$6:$E$14, MATCH($A26, Console!$A$6:$A$123, 0)+1, MATCH(A$21, Console!$A$6:$E$6, 0))),"&gt;0"))</f>
        <v>5342839905</v>
      </c>
      <c r="D26" s="5">
        <f ca="1">SUMIFS(INDIRECT("'"&amp;A$21&amp;" - NRPY'!$C:$C"), INDIRECT("'"&amp;A$21&amp;" - NRPY'!$A:$A"), "&gt;"&amp;INDEX(Console!$A$6:$E$14, MATCH($A12, Console!$A$6:$A$123, 0), MATCH(A$21, Console!$A$6:$E$6, 0)), INDIRECT("'"&amp;A$21&amp;" - NRPY'!$A:$A"), IFERROR("&lt;="&amp;IF(INDEX(Console!$A$6:$E$14, MATCH($A12, Console!$A$6:$A$123, 0)+1, MATCH(A$21, Console!$A$6:$E$6, 0))=0, NA(), INDEX(Console!$A$6:$E$14, MATCH($A12, Console!$A$6:$A$123, 0)+1, MATCH(A$21, Console!$A$6:$E$6, 0))),"&gt;0"))</f>
        <v>20372</v>
      </c>
      <c r="E26" s="5">
        <f t="shared" ca="1" si="9"/>
        <v>262263.88695268013</v>
      </c>
      <c r="F26">
        <f ca="1">IF(E26&lt;Console!C$21, Console!C$20, MAX((Console!C$22-E26)/1000*Console!C$23, 0))</f>
        <v>0</v>
      </c>
      <c r="G26">
        <f ca="1">IF(E26&gt;Console!C$31, MIN((E26-Console!C$31)*Console!C$33/1000, Console!C$32), 0)+IF(E26&gt;Console!C$36, MIN((E26-Console!C$36)*Console!C$38/1000, Console!C$37), 0)</f>
        <v>0</v>
      </c>
      <c r="H26" s="5">
        <f t="shared" ca="1" si="10"/>
        <v>0</v>
      </c>
      <c r="I26" s="18">
        <f ca="1">IF(E26&gt;Console!C$26, IF(E26&lt;Console!C$27, (E26-Console!C$26)*Console!C$28/1000, (Console!C$27-Console!C$26)*Console!C$28/1000), 0)</f>
        <v>20000</v>
      </c>
      <c r="J26" s="5">
        <f t="shared" ca="1" si="11"/>
        <v>0</v>
      </c>
      <c r="K26" s="5">
        <f t="shared" ca="1" si="12"/>
        <v>100000</v>
      </c>
      <c r="L26" s="5">
        <f t="shared" ca="1" si="13"/>
        <v>100000</v>
      </c>
      <c r="M26" s="5">
        <f t="shared" ca="1" si="13"/>
        <v>62263.886952680128</v>
      </c>
      <c r="N26" s="5">
        <f t="shared" ca="1" si="13"/>
        <v>0</v>
      </c>
      <c r="O26" s="5">
        <f t="shared" ca="1" si="13"/>
        <v>0</v>
      </c>
      <c r="P26" s="5">
        <f t="shared" ca="1" si="13"/>
        <v>0</v>
      </c>
      <c r="Q26" s="5">
        <f t="shared" ca="1" si="13"/>
        <v>0</v>
      </c>
      <c r="R26" s="5">
        <f t="shared" ca="1" si="13"/>
        <v>0</v>
      </c>
      <c r="S26" s="5">
        <f t="shared" ca="1" si="13"/>
        <v>0</v>
      </c>
      <c r="T26" s="18">
        <f t="shared" ca="1" si="13"/>
        <v>0</v>
      </c>
      <c r="U26" s="16">
        <f t="shared" ca="1" si="14"/>
        <v>0</v>
      </c>
      <c r="V26" s="16">
        <f t="shared" ca="1" si="15"/>
        <v>0.38129534783430874</v>
      </c>
      <c r="W26" s="16">
        <f t="shared" ca="1" si="15"/>
        <v>0.38129534783430874</v>
      </c>
      <c r="X26" s="16">
        <f t="shared" ca="1" si="15"/>
        <v>0.23740930433138249</v>
      </c>
      <c r="Y26" s="16">
        <f t="shared" ca="1" si="15"/>
        <v>0</v>
      </c>
      <c r="Z26" s="16">
        <f t="shared" ca="1" si="15"/>
        <v>0</v>
      </c>
      <c r="AA26" s="16">
        <f t="shared" ca="1" si="15"/>
        <v>0</v>
      </c>
      <c r="AB26" s="16">
        <f t="shared" ca="1" si="15"/>
        <v>0</v>
      </c>
      <c r="AC26" s="16">
        <f t="shared" ca="1" si="15"/>
        <v>0</v>
      </c>
      <c r="AD26" s="16">
        <f t="shared" ca="1" si="15"/>
        <v>0</v>
      </c>
      <c r="AE26" s="16">
        <f t="shared" ca="1" si="15"/>
        <v>0</v>
      </c>
      <c r="AF26" s="23">
        <f ca="1">SUMIFS(INDIRECT("'"&amp;A$21&amp;" - NRPY'!$O:$O"), INDIRECT("'"&amp;A$21&amp;" - NRPY'!$A:$A"), "&gt;"&amp;INDEX(Console!$A$6:$E$14, MATCH($A12, Console!$A$6:$A$123, 0), MATCH(A$21, Console!$A$6:$E$6, 0)), INDIRECT("'"&amp;A$21&amp;" - NRPY'!$A:$A"), IFERROR("&lt;="&amp;IF(INDEX(Console!$A$6:$E$14, MATCH($A12, Console!$A$6:$A$123, 0)+1, MATCH(A$21, Console!$A$6:$E$6, 0))=0, NA(), INDEX(Console!$A$6:$E$14, MATCH($A12, Console!$A$6:$A$123, 0)+1, MATCH(A$21, Console!$A$6:$E$6, 0))),"&gt;0"))</f>
        <v>87880048</v>
      </c>
    </row>
    <row r="27" spans="1:32" x14ac:dyDescent="0.25">
      <c r="A27" s="20">
        <f>Console!A11</f>
        <v>6.5000000000000002E-2</v>
      </c>
      <c r="B27" s="8">
        <f>Console!C11</f>
        <v>400000</v>
      </c>
      <c r="C27" s="5">
        <f ca="1">SUMIFS(INDIRECT("'"&amp;A$21&amp;" - NRPY'!$G:$G"), INDIRECT("'"&amp;A$21&amp;" - NRPY'!$A:$A"), "&gt;"&amp;INDEX(Console!$A$6:$E$14, MATCH($A27, Console!$A$6:$A$123, 0), MATCH(A$21, Console!$A$6:$E$6, 0)), INDIRECT("'"&amp;A$21&amp;" - NRPY'!$A:$A"), IFERROR("&lt;="&amp;IF(INDEX(Console!$A$6:$E$14, MATCH($A27, Console!$A$6:$A$123, 0)+1, MATCH(A$21, Console!$A$6:$E$6, 0))=0, NA(), INDEX(Console!$A$6:$E$14, MATCH($A27, Console!$A$6:$A$123, 0)+1, MATCH(A$21, Console!$A$6:$E$6, 0))),"&gt;0"))</f>
        <v>3586238365</v>
      </c>
      <c r="D27" s="5">
        <f ca="1">SUMIFS(INDIRECT("'"&amp;A$21&amp;" - NRPY'!$C:$C"), INDIRECT("'"&amp;A$21&amp;" - NRPY'!$A:$A"), "&gt;"&amp;INDEX(Console!$A$6:$E$14, MATCH($A13, Console!$A$6:$A$123, 0), MATCH(A$21, Console!$A$6:$E$6, 0)), INDIRECT("'"&amp;A$21&amp;" - NRPY'!$A:$A"), IFERROR("&lt;="&amp;IF(INDEX(Console!$A$6:$E$14, MATCH($A13, Console!$A$6:$A$123, 0)+1, MATCH(A$21, Console!$A$6:$E$6, 0))=0, NA(), INDEX(Console!$A$6:$E$14, MATCH($A13, Console!$A$6:$A$123, 0)+1, MATCH(A$21, Console!$A$6:$E$6, 0))),"&gt;0"))</f>
        <v>8619</v>
      </c>
      <c r="E27" s="5">
        <f t="shared" ca="1" si="9"/>
        <v>416085.2030397958</v>
      </c>
      <c r="F27">
        <f ca="1">IF(E27&lt;Console!C$21, Console!C$20, MAX((Console!C$22-E27)/1000*Console!C$23, 0))</f>
        <v>0</v>
      </c>
      <c r="G27">
        <f ca="1">IF(E27&gt;Console!C$31, MIN((E27-Console!C$31)*Console!C$33/1000, Console!C$32), 0)+IF(E27&gt;Console!C$36, MIN((E27-Console!C$36)*Console!C$38/1000, Console!C$37), 0)</f>
        <v>289.53365471632441</v>
      </c>
      <c r="H27" s="5">
        <f t="shared" ca="1" si="10"/>
        <v>2495490.5699999998</v>
      </c>
      <c r="I27" s="18">
        <f ca="1">IF(E27&gt;Console!C$26, IF(E27&lt;Console!C$27, (E27-Console!C$26)*Console!C$28/1000, (Console!C$27-Console!C$26)*Console!C$28/1000), 0)</f>
        <v>20000</v>
      </c>
      <c r="J27" s="5">
        <f t="shared" ca="1" si="11"/>
        <v>0</v>
      </c>
      <c r="K27" s="5">
        <f t="shared" ca="1" si="12"/>
        <v>100000</v>
      </c>
      <c r="L27" s="5">
        <f t="shared" ca="1" si="13"/>
        <v>100000</v>
      </c>
      <c r="M27" s="5">
        <f t="shared" ca="1" si="13"/>
        <v>200000</v>
      </c>
      <c r="N27" s="5">
        <f t="shared" ca="1" si="13"/>
        <v>16085.203039795801</v>
      </c>
      <c r="O27" s="5">
        <f t="shared" ca="1" si="13"/>
        <v>0</v>
      </c>
      <c r="P27" s="5">
        <f t="shared" ca="1" si="13"/>
        <v>0</v>
      </c>
      <c r="Q27" s="5">
        <f t="shared" ca="1" si="13"/>
        <v>0</v>
      </c>
      <c r="R27" s="5">
        <f t="shared" ca="1" si="13"/>
        <v>0</v>
      </c>
      <c r="S27" s="5">
        <f t="shared" ca="1" si="13"/>
        <v>0</v>
      </c>
      <c r="T27" s="18">
        <f t="shared" ca="1" si="13"/>
        <v>0</v>
      </c>
      <c r="U27" s="16">
        <f t="shared" ca="1" si="14"/>
        <v>0</v>
      </c>
      <c r="V27" s="16">
        <f t="shared" ca="1" si="15"/>
        <v>0.24033539109160693</v>
      </c>
      <c r="W27" s="16">
        <f t="shared" ca="1" si="15"/>
        <v>0.24033539109160693</v>
      </c>
      <c r="X27" s="16">
        <f t="shared" ca="1" si="15"/>
        <v>0.48067078218321385</v>
      </c>
      <c r="Y27" s="16">
        <f t="shared" ca="1" si="15"/>
        <v>3.8658435633572283E-2</v>
      </c>
      <c r="Z27" s="16">
        <f t="shared" ca="1" si="15"/>
        <v>0</v>
      </c>
      <c r="AA27" s="16">
        <f t="shared" ca="1" si="15"/>
        <v>0</v>
      </c>
      <c r="AB27" s="16">
        <f t="shared" ca="1" si="15"/>
        <v>0</v>
      </c>
      <c r="AC27" s="16">
        <f t="shared" ca="1" si="15"/>
        <v>0</v>
      </c>
      <c r="AD27" s="16">
        <f t="shared" ca="1" si="15"/>
        <v>0</v>
      </c>
      <c r="AE27" s="16">
        <f t="shared" ca="1" si="15"/>
        <v>0</v>
      </c>
      <c r="AF27" s="23">
        <f ca="1">SUMIFS(INDIRECT("'"&amp;A$21&amp;" - NRPY'!$O:$O"), INDIRECT("'"&amp;A$21&amp;" - NRPY'!$A:$A"), "&gt;"&amp;INDEX(Console!$A$6:$E$14, MATCH($A13, Console!$A$6:$A$123, 0), MATCH(A$21, Console!$A$6:$E$6, 0)), INDIRECT("'"&amp;A$21&amp;" - NRPY'!$A:$A"), IFERROR("&lt;="&amp;IF(INDEX(Console!$A$6:$E$14, MATCH($A13, Console!$A$6:$A$123, 0)+1, MATCH(A$21, Console!$A$6:$E$6, 0))=0, NA(), INDEX(Console!$A$6:$E$14, MATCH($A13, Console!$A$6:$A$123, 0)+1, MATCH(A$21, Console!$A$6:$E$6, 0))),"&gt;0"))</f>
        <v>52443903</v>
      </c>
    </row>
    <row r="28" spans="1:32" x14ac:dyDescent="0.25">
      <c r="A28" s="20">
        <f>Console!A12</f>
        <v>6.9000000000000006E-2</v>
      </c>
      <c r="B28" s="8">
        <f>Console!C12</f>
        <v>500000</v>
      </c>
      <c r="C28" s="5">
        <f ca="1">SUMIFS(INDIRECT("'"&amp;A$21&amp;" - NRPY'!$G:$G"), INDIRECT("'"&amp;A$21&amp;" - NRPY'!$A:$A"), "&gt;"&amp;INDEX(Console!$A$6:$E$14, MATCH($A28, Console!$A$6:$A$123, 0), MATCH(A$21, Console!$A$6:$E$6, 0)), INDIRECT("'"&amp;A$21&amp;" - NRPY'!$A:$A"), IFERROR("&lt;="&amp;IF(INDEX(Console!$A$6:$E$14, MATCH($A28, Console!$A$6:$A$123, 0)+1, MATCH(A$21, Console!$A$6:$E$6, 0))=0, NA(), INDEX(Console!$A$6:$E$14, MATCH($A28, Console!$A$6:$A$123, 0)+1, MATCH(A$21, Console!$A$6:$E$6, 0))),"&gt;0"))</f>
        <v>7450652495</v>
      </c>
      <c r="D28" s="5">
        <f ca="1">SUMIFS(INDIRECT("'"&amp;A$21&amp;" - NRPY'!$C:$C"), INDIRECT("'"&amp;A$21&amp;" - NRPY'!$A:$A"), "&gt;"&amp;INDEX(Console!$A$6:$E$14, MATCH($A14, Console!$A$6:$A$123, 0), MATCH(A$21, Console!$A$6:$E$6, 0)), INDIRECT("'"&amp;A$21&amp;" - NRPY'!$A:$A"), IFERROR("&lt;="&amp;IF(INDEX(Console!$A$6:$E$14, MATCH($A14, Console!$A$6:$A$123, 0)+1, MATCH(A$21, Console!$A$6:$E$6, 0))=0, NA(), INDEX(Console!$A$6:$E$14, MATCH($A14, Console!$A$6:$A$123, 0)+1, MATCH(A$21, Console!$A$6:$E$6, 0))),"&gt;0"))</f>
        <v>10747</v>
      </c>
      <c r="E28" s="5">
        <f t="shared" ca="1" si="9"/>
        <v>693277.42579324462</v>
      </c>
      <c r="F28">
        <f ca="1">IF(E28&lt;Console!C$21, Console!C$20, MAX((Console!C$22-E28)/1000*Console!C$23, 0))</f>
        <v>0</v>
      </c>
      <c r="G28">
        <f ca="1">IF(E28&gt;Console!C$31, MIN((E28-Console!C$31)*Console!C$33/1000, Console!C$32), 0)+IF(E28&gt;Console!C$36, MIN((E28-Console!C$36)*Console!C$38/1000, Console!C$37), 0)</f>
        <v>5278.9936642784032</v>
      </c>
      <c r="H28" s="5">
        <f t="shared" ca="1" si="10"/>
        <v>56733344.909999996</v>
      </c>
      <c r="I28" s="18">
        <f ca="1">IF(E28&gt;Console!C$26, IF(E28&lt;Console!C$27, (E28-Console!C$26)*Console!C$28/1000, (Console!C$27-Console!C$26)*Console!C$28/1000), 0)</f>
        <v>20000</v>
      </c>
      <c r="J28" s="5">
        <f t="shared" ca="1" si="11"/>
        <v>0</v>
      </c>
      <c r="K28" s="5">
        <f t="shared" ca="1" si="12"/>
        <v>100000</v>
      </c>
      <c r="L28" s="5">
        <f t="shared" ca="1" si="13"/>
        <v>100000</v>
      </c>
      <c r="M28" s="5">
        <f t="shared" ca="1" si="13"/>
        <v>200000</v>
      </c>
      <c r="N28" s="5">
        <f t="shared" ca="1" si="13"/>
        <v>100000</v>
      </c>
      <c r="O28" s="5">
        <f t="shared" ca="1" si="13"/>
        <v>193277.42579324462</v>
      </c>
      <c r="P28" s="5">
        <f t="shared" ca="1" si="13"/>
        <v>0</v>
      </c>
      <c r="Q28" s="5">
        <f t="shared" ca="1" si="13"/>
        <v>0</v>
      </c>
      <c r="R28" s="5">
        <f t="shared" ca="1" si="13"/>
        <v>0</v>
      </c>
      <c r="S28" s="5">
        <f t="shared" ca="1" si="13"/>
        <v>0</v>
      </c>
      <c r="T28" s="18">
        <f t="shared" ca="1" si="13"/>
        <v>0</v>
      </c>
      <c r="U28" s="16">
        <f t="shared" ca="1" si="14"/>
        <v>0</v>
      </c>
      <c r="V28" s="16">
        <f t="shared" ca="1" si="15"/>
        <v>0.14424240034295144</v>
      </c>
      <c r="W28" s="16">
        <f t="shared" ca="1" si="15"/>
        <v>0.14424240034295144</v>
      </c>
      <c r="X28" s="16">
        <f t="shared" ca="1" si="15"/>
        <v>0.28848480068590288</v>
      </c>
      <c r="Y28" s="16">
        <f t="shared" ca="1" si="15"/>
        <v>0.14424240034295144</v>
      </c>
      <c r="Z28" s="16">
        <f t="shared" ca="1" si="15"/>
        <v>0.27878799828524281</v>
      </c>
      <c r="AA28" s="16">
        <f t="shared" ca="1" si="15"/>
        <v>0</v>
      </c>
      <c r="AB28" s="16">
        <f t="shared" ca="1" si="15"/>
        <v>0</v>
      </c>
      <c r="AC28" s="16">
        <f t="shared" ca="1" si="15"/>
        <v>0</v>
      </c>
      <c r="AD28" s="16">
        <f t="shared" ca="1" si="15"/>
        <v>0</v>
      </c>
      <c r="AE28" s="16">
        <f t="shared" ca="1" si="15"/>
        <v>0</v>
      </c>
      <c r="AF28" s="23">
        <f ca="1">SUMIFS(INDIRECT("'"&amp;A$21&amp;" - NRPY'!$O:$O"), INDIRECT("'"&amp;A$21&amp;" - NRPY'!$A:$A"), "&gt;"&amp;INDEX(Console!$A$6:$E$14, MATCH($A14, Console!$A$6:$A$123, 0), MATCH(A$21, Console!$A$6:$E$6, 0)), INDIRECT("'"&amp;A$21&amp;" - NRPY'!$A:$A"), IFERROR("&lt;="&amp;IF(INDEX(Console!$A$6:$E$14, MATCH($A14, Console!$A$6:$A$123, 0)+1, MATCH(A$21, Console!$A$6:$E$6, 0))=0, NA(), INDEX(Console!$A$6:$E$14, MATCH($A14, Console!$A$6:$A$123, 0)+1, MATCH(A$21, Console!$A$6:$E$6, 0))),"&gt;0"))</f>
        <v>93710534</v>
      </c>
    </row>
    <row r="29" spans="1:32" x14ac:dyDescent="0.25">
      <c r="A29" s="20">
        <f>Console!A13</f>
        <v>6.9900000000000004E-2</v>
      </c>
      <c r="B29" s="8">
        <f>Console!C13</f>
        <v>1000000</v>
      </c>
      <c r="C29" s="5">
        <f ca="1">SUMIFS(INDIRECT("'"&amp;A$21&amp;" - NRPY'!$G:$G"), INDIRECT("'"&amp;A$21&amp;" - NRPY'!$A:$A"), "&gt;"&amp;INDEX(Console!$A$6:$E$14, MATCH($A29, Console!$A$6:$A$123, 0), MATCH(A$21, Console!$A$6:$E$6, 0)), INDIRECT("'"&amp;A$21&amp;" - NRPY'!$A:$A"), IFERROR("&lt;="&amp;IF(INDEX(Console!$A$6:$E$14, MATCH($A29, Console!$A$6:$A$123, 0)+1, MATCH(A$21, Console!$A$6:$E$6, 0))=0, NA(), INDEX(Console!$A$6:$E$14, MATCH($A29, Console!$A$6:$A$123, 0)+1, MATCH(A$21, Console!$A$6:$E$6, 0))),"&gt;0"))</f>
        <v>97906880714</v>
      </c>
      <c r="D29" s="5">
        <f ca="1">SUMIFS(INDIRECT("'"&amp;A$21&amp;" - NRPY'!$C:$C"), INDIRECT("'"&amp;A$21&amp;" - NRPY'!$A:$A"), "&gt;"&amp;INDEX(Console!$A$6:$E$14, MATCH($A15, Console!$A$6:$A$123, 0), MATCH(A$21, Console!$A$6:$E$6, 0)), INDIRECT("'"&amp;A$21&amp;" - NRPY'!$A:$A"), IFERROR("&lt;="&amp;IF(INDEX(Console!$A$6:$E$14, MATCH($A15, Console!$A$6:$A$123, 0)+1, MATCH(A$21, Console!$A$6:$E$6, 0))=0, NA(), INDEX(Console!$A$6:$E$14, MATCH($A15, Console!$A$6:$A$123, 0)+1, MATCH(A$21, Console!$A$6:$E$6, 0))),"&gt;0"))</f>
        <v>12309</v>
      </c>
      <c r="E29" s="5">
        <f t="shared" ca="1" si="9"/>
        <v>7954088.9360630428</v>
      </c>
      <c r="F29">
        <f ca="1">IF(E29&lt;Console!C$21, Console!C$20, MAX((Console!C$22-E29)/1000*Console!C$23, 0))</f>
        <v>0</v>
      </c>
      <c r="G29">
        <f ca="1">IF(E29&gt;Console!C$31, MIN((E29-Console!C$31)*Console!C$33/1000, Console!C$32), 0)+IF(E29&gt;Console!C$36, MIN((E29-Console!C$36)*Console!C$38/1000, Console!C$37), 0)</f>
        <v>6300</v>
      </c>
      <c r="H29" s="5">
        <f t="shared" ca="1" si="10"/>
        <v>77546700</v>
      </c>
      <c r="I29" s="18">
        <f ca="1">IF(E29&gt;Console!C$26, IF(E29&lt;Console!C$27, (E29-Console!C$26)*Console!C$28/1000, (Console!C$27-Console!C$26)*Console!C$28/1000), 0)</f>
        <v>20000</v>
      </c>
      <c r="J29" s="5">
        <f t="shared" ca="1" si="11"/>
        <v>0</v>
      </c>
      <c r="K29" s="5">
        <f t="shared" ca="1" si="12"/>
        <v>100000</v>
      </c>
      <c r="L29" s="5">
        <f t="shared" ca="1" si="13"/>
        <v>100000</v>
      </c>
      <c r="M29" s="5">
        <f t="shared" ca="1" si="13"/>
        <v>200000</v>
      </c>
      <c r="N29" s="5">
        <f t="shared" ca="1" si="13"/>
        <v>100000</v>
      </c>
      <c r="O29" s="5">
        <f t="shared" ca="1" si="13"/>
        <v>500000</v>
      </c>
      <c r="P29" s="5">
        <f t="shared" ca="1" si="13"/>
        <v>6954088.9360630428</v>
      </c>
      <c r="Q29" s="5">
        <f t="shared" ca="1" si="13"/>
        <v>0</v>
      </c>
      <c r="R29" s="5">
        <f t="shared" ca="1" si="13"/>
        <v>0</v>
      </c>
      <c r="S29" s="5">
        <f t="shared" ca="1" si="13"/>
        <v>0</v>
      </c>
      <c r="T29" s="18">
        <f t="shared" ca="1" si="13"/>
        <v>0</v>
      </c>
      <c r="U29" s="16">
        <f t="shared" ca="1" si="14"/>
        <v>0</v>
      </c>
      <c r="V29" s="16">
        <f t="shared" ca="1" si="15"/>
        <v>1.2572150098373933E-2</v>
      </c>
      <c r="W29" s="16">
        <f t="shared" ca="1" si="15"/>
        <v>1.2572150098373933E-2</v>
      </c>
      <c r="X29" s="16">
        <f t="shared" ca="1" si="15"/>
        <v>2.5144300196747866E-2</v>
      </c>
      <c r="Y29" s="16">
        <f t="shared" ca="1" si="15"/>
        <v>1.2572150098373933E-2</v>
      </c>
      <c r="Z29" s="16">
        <f t="shared" ca="1" si="15"/>
        <v>6.2860750491869663E-2</v>
      </c>
      <c r="AA29" s="16">
        <f t="shared" ca="1" si="15"/>
        <v>0.87427849901626065</v>
      </c>
      <c r="AB29" s="16">
        <f t="shared" ca="1" si="15"/>
        <v>0</v>
      </c>
      <c r="AC29" s="16">
        <f t="shared" ca="1" si="15"/>
        <v>0</v>
      </c>
      <c r="AD29" s="16">
        <f t="shared" ca="1" si="15"/>
        <v>0</v>
      </c>
      <c r="AE29" s="16">
        <f t="shared" ca="1" si="15"/>
        <v>0</v>
      </c>
      <c r="AF29" s="23">
        <f ca="1">SUMIFS(INDIRECT("'"&amp;A$21&amp;" - NRPY'!$O:$O"), INDIRECT("'"&amp;A$21&amp;" - NRPY'!$A:$A"), "&gt;"&amp;INDEX(Console!$A$6:$E$14, MATCH($A15, Console!$A$6:$A$123, 0), MATCH(A$21, Console!$A$6:$E$6, 0)), INDIRECT("'"&amp;A$21&amp;" - NRPY'!$A:$A"), IFERROR("&lt;="&amp;IF(INDEX(Console!$A$6:$E$14, MATCH($A15, Console!$A$6:$A$123, 0)+1, MATCH(A$21, Console!$A$6:$E$6, 0))=0, NA(), INDEX(Console!$A$6:$E$14, MATCH($A15, Console!$A$6:$A$123, 0)+1, MATCH(A$21, Console!$A$6:$E$6, 0))),"&gt;0"))</f>
        <v>303367853</v>
      </c>
    </row>
    <row r="30" spans="1:32" x14ac:dyDescent="0.25">
      <c r="A30" s="20">
        <f>Console!A14</f>
        <v>0</v>
      </c>
      <c r="B30" s="8">
        <f>Console!C14</f>
        <v>0</v>
      </c>
      <c r="C30" s="5">
        <f ca="1">SUMIFS(INDIRECT("'"&amp;A$21&amp;" - NRPY'!$G:$G"), INDIRECT("'"&amp;A$21&amp;" - NRPY'!$A:$A"), "&gt;"&amp;INDEX(Console!$A$6:$E$14, MATCH($A30, Console!$A$6:$A$123, 0), MATCH(A$21, Console!$A$6:$E$6, 0)), INDIRECT("'"&amp;A$21&amp;" - NRPY'!$A:$A"), IFERROR("&lt;="&amp;IF(INDEX(Console!$A$6:$E$14, MATCH($A30, Console!$A$6:$A$123, 0)+1, MATCH(A$21, Console!$A$6:$E$6, 0))=0, NA(), INDEX(Console!$A$6:$E$14, MATCH($A30, Console!$A$6:$A$123, 0)+1, MATCH(A$21, Console!$A$6:$E$6, 0))),"&gt;0"))</f>
        <v>0</v>
      </c>
      <c r="D30" s="5">
        <f ca="1">SUMIFS(INDIRECT("'"&amp;A$21&amp;" - NRPY'!$C:$C"), INDIRECT("'"&amp;A$21&amp;" - NRPY'!$A:$A"), "&gt;"&amp;INDEX(Console!$A$6:$E$14, MATCH($A16, Console!$A$6:$A$123, 0), MATCH(A$21, Console!$A$6:$E$6, 0)), INDIRECT("'"&amp;A$21&amp;" - NRPY'!$A:$A"), IFERROR("&lt;="&amp;IF(INDEX(Console!$A$6:$E$14, MATCH($A16, Console!$A$6:$A$123, 0)+1, MATCH(A$21, Console!$A$6:$E$6, 0))=0, NA(), INDEX(Console!$A$6:$E$14, MATCH($A16, Console!$A$6:$A$123, 0)+1, MATCH(A$21, Console!$A$6:$E$6, 0))),"&gt;0"))</f>
        <v>0</v>
      </c>
      <c r="E30" s="5">
        <f t="shared" ca="1" si="9"/>
        <v>0</v>
      </c>
      <c r="F30">
        <f ca="1">IF(E30&lt;Console!C$21, Console!C$20, MAX((Console!C$22-E30)/1000*Console!C$23, 0))</f>
        <v>24000</v>
      </c>
      <c r="G30">
        <f ca="1">IF(E30&gt;Console!C$31, MIN((E30-Console!C$31)*Console!C$33/1000, Console!C$32), 0)+IF(E30&gt;Console!C$36, MIN((E30-Console!C$36)*Console!C$38/1000, Console!C$37), 0)</f>
        <v>0</v>
      </c>
      <c r="H30" s="5">
        <f t="shared" ca="1" si="10"/>
        <v>0</v>
      </c>
      <c r="I30" s="18">
        <f ca="1">IF(E30&gt;Console!C$26, IF(E30&lt;Console!C$27, (E30-Console!C$26)*Console!C$28/1000, (Console!C$27-Console!C$26)*Console!C$28/1000), 0)</f>
        <v>0</v>
      </c>
      <c r="J30" s="5">
        <f t="shared" ca="1" si="11"/>
        <v>0</v>
      </c>
      <c r="K30" s="5">
        <f t="shared" ca="1" si="12"/>
        <v>0</v>
      </c>
      <c r="L30" s="5">
        <f t="shared" ca="1" si="13"/>
        <v>0</v>
      </c>
      <c r="M30" s="5">
        <f t="shared" ca="1" si="13"/>
        <v>0</v>
      </c>
      <c r="N30" s="5">
        <f t="shared" ca="1" si="13"/>
        <v>0</v>
      </c>
      <c r="O30" s="5">
        <f t="shared" ca="1" si="13"/>
        <v>0</v>
      </c>
      <c r="P30" s="5">
        <f t="shared" ca="1" si="13"/>
        <v>0</v>
      </c>
      <c r="Q30" s="5">
        <f t="shared" ca="1" si="13"/>
        <v>0</v>
      </c>
      <c r="R30" s="5">
        <f t="shared" ca="1" si="13"/>
        <v>0</v>
      </c>
      <c r="S30" s="5">
        <f t="shared" ca="1" si="13"/>
        <v>0</v>
      </c>
      <c r="T30" s="18">
        <f t="shared" ca="1" si="13"/>
        <v>0</v>
      </c>
      <c r="U30" s="16">
        <f t="shared" ca="1" si="14"/>
        <v>1</v>
      </c>
      <c r="V30" s="16">
        <f t="shared" ca="1" si="15"/>
        <v>0</v>
      </c>
      <c r="W30" s="16">
        <f t="shared" ca="1" si="15"/>
        <v>0</v>
      </c>
      <c r="X30" s="16">
        <f t="shared" ca="1" si="15"/>
        <v>0</v>
      </c>
      <c r="Y30" s="16">
        <f t="shared" ca="1" si="15"/>
        <v>0</v>
      </c>
      <c r="Z30" s="16">
        <f t="shared" ca="1" si="15"/>
        <v>0</v>
      </c>
      <c r="AA30" s="16">
        <f t="shared" ca="1" si="15"/>
        <v>0</v>
      </c>
      <c r="AB30" s="16">
        <f t="shared" ca="1" si="15"/>
        <v>0</v>
      </c>
      <c r="AC30" s="16">
        <f t="shared" ca="1" si="15"/>
        <v>0</v>
      </c>
      <c r="AD30" s="16">
        <f t="shared" ca="1" si="15"/>
        <v>0</v>
      </c>
      <c r="AE30" s="16">
        <f t="shared" ca="1" si="15"/>
        <v>0</v>
      </c>
      <c r="AF30" s="23">
        <f ca="1">SUMIFS(INDIRECT("'"&amp;A$21&amp;" - NRPY'!$O:$O"), INDIRECT("'"&amp;A$21&amp;" - NRPY'!$A:$A"), "&gt;"&amp;INDEX(Console!$A$6:$E$14, MATCH($A16, Console!$A$6:$A$123, 0), MATCH(A$21, Console!$A$6:$E$6, 0)), INDIRECT("'"&amp;A$21&amp;" - NRPY'!$A:$A"), IFERROR("&lt;="&amp;IF(INDEX(Console!$A$6:$E$14, MATCH($A16, Console!$A$6:$A$123, 0)+1, MATCH(A$21, Console!$A$6:$E$6, 0))=0, NA(), INDEX(Console!$A$6:$E$14, MATCH($A16, Console!$A$6:$A$123, 0)+1, MATCH(A$21, Console!$A$6:$E$6, 0))),"&gt;0"))</f>
        <v>0</v>
      </c>
    </row>
    <row r="31" spans="1:32" x14ac:dyDescent="0.25">
      <c r="A31" s="20">
        <f>Console!A15</f>
        <v>0</v>
      </c>
      <c r="B31" s="8">
        <f>Console!C15</f>
        <v>0</v>
      </c>
      <c r="C31" s="5">
        <f ca="1">SUMIFS(INDIRECT("'"&amp;A$21&amp;" - NRPY'!$G:$G"), INDIRECT("'"&amp;A$21&amp;" - NRPY'!$A:$A"), "&gt;"&amp;INDEX(Console!$A$6:$E$14, MATCH($A31, Console!$A$6:$A$123, 0), MATCH(A$21, Console!$A$6:$E$6, 0)), INDIRECT("'"&amp;A$21&amp;" - NRPY'!$A:$A"), IFERROR("&lt;="&amp;IF(INDEX(Console!$A$6:$E$14, MATCH($A31, Console!$A$6:$A$123, 0)+1, MATCH(A$21, Console!$A$6:$E$6, 0))=0, NA(), INDEX(Console!$A$6:$E$14, MATCH($A31, Console!$A$6:$A$123, 0)+1, MATCH(A$21, Console!$A$6:$E$6, 0))),"&gt;0"))</f>
        <v>0</v>
      </c>
      <c r="D31" s="5">
        <f ca="1">SUMIFS(INDIRECT("'"&amp;A$21&amp;" - NRPY'!$C:$C"), INDIRECT("'"&amp;A$21&amp;" - NRPY'!$A:$A"), "&gt;"&amp;INDEX(Console!$A$6:$E$14, MATCH($A17, Console!$A$6:$A$123, 0), MATCH(A$21, Console!$A$6:$E$6, 0)), INDIRECT("'"&amp;A$21&amp;" - NRPY'!$A:$A"), IFERROR("&lt;="&amp;IF(INDEX(Console!$A$6:$E$14, MATCH($A17, Console!$A$6:$A$123, 0)+1, MATCH(A$21, Console!$A$6:$E$6, 0))=0, NA(), INDEX(Console!$A$6:$E$14, MATCH($A17, Console!$A$6:$A$123, 0)+1, MATCH(A$21, Console!$A$6:$E$6, 0))),"&gt;0"))</f>
        <v>0</v>
      </c>
      <c r="E31" s="5">
        <f t="shared" ca="1" si="9"/>
        <v>0</v>
      </c>
      <c r="F31">
        <f ca="1">IF(E31&lt;Console!C$21, Console!C$20, MAX((Console!C$22-E31)/1000*Console!C$23, 0))</f>
        <v>24000</v>
      </c>
      <c r="G31">
        <f ca="1">IF(E31&gt;Console!C$31, MIN((E31-Console!C$31)*Console!C$33/1000, Console!C$32), 0)+IF(E31&gt;Console!C$36, MIN((E31-Console!C$36)*Console!C$38/1000, Console!C$37), 0)</f>
        <v>0</v>
      </c>
      <c r="H31" s="5">
        <f t="shared" ca="1" si="10"/>
        <v>0</v>
      </c>
      <c r="I31" s="18">
        <f ca="1">IF(E31&gt;Console!C$26, IF(E31&lt;Console!C$27, (E31-Console!C$26)*Console!C$28/1000, (Console!C$27-Console!C$26)*Console!C$28/1000), 0)</f>
        <v>0</v>
      </c>
      <c r="J31" s="5">
        <f t="shared" ca="1" si="11"/>
        <v>0</v>
      </c>
      <c r="K31" s="5">
        <f t="shared" ca="1" si="12"/>
        <v>0</v>
      </c>
      <c r="L31" s="5">
        <f t="shared" ca="1" si="13"/>
        <v>0</v>
      </c>
      <c r="M31" s="5">
        <f t="shared" ca="1" si="13"/>
        <v>0</v>
      </c>
      <c r="N31" s="5">
        <f t="shared" ca="1" si="13"/>
        <v>0</v>
      </c>
      <c r="O31" s="5">
        <f t="shared" ca="1" si="13"/>
        <v>0</v>
      </c>
      <c r="P31" s="5">
        <f t="shared" ca="1" si="13"/>
        <v>0</v>
      </c>
      <c r="Q31" s="5">
        <f t="shared" ca="1" si="13"/>
        <v>0</v>
      </c>
      <c r="R31" s="5">
        <f t="shared" ca="1" si="13"/>
        <v>0</v>
      </c>
      <c r="S31" s="5">
        <f t="shared" ca="1" si="13"/>
        <v>0</v>
      </c>
      <c r="T31" s="18">
        <f t="shared" ca="1" si="13"/>
        <v>0</v>
      </c>
      <c r="U31" s="16">
        <f t="shared" ca="1" si="14"/>
        <v>1</v>
      </c>
      <c r="V31" s="16">
        <f t="shared" ca="1" si="15"/>
        <v>0</v>
      </c>
      <c r="W31" s="16">
        <f t="shared" ca="1" si="15"/>
        <v>0</v>
      </c>
      <c r="X31" s="16">
        <f t="shared" ca="1" si="15"/>
        <v>0</v>
      </c>
      <c r="Y31" s="16">
        <f t="shared" ca="1" si="15"/>
        <v>0</v>
      </c>
      <c r="Z31" s="16">
        <f t="shared" ca="1" si="15"/>
        <v>0</v>
      </c>
      <c r="AA31" s="16">
        <f t="shared" ca="1" si="15"/>
        <v>0</v>
      </c>
      <c r="AB31" s="16">
        <f t="shared" ca="1" si="15"/>
        <v>0</v>
      </c>
      <c r="AC31" s="16">
        <f t="shared" ca="1" si="15"/>
        <v>0</v>
      </c>
      <c r="AD31" s="16">
        <f t="shared" ca="1" si="15"/>
        <v>0</v>
      </c>
      <c r="AE31" s="16">
        <f t="shared" ca="1" si="15"/>
        <v>0</v>
      </c>
      <c r="AF31" s="23">
        <f ca="1">SUMIFS(INDIRECT("'"&amp;A$21&amp;" - NRPY'!$O:$O"), INDIRECT("'"&amp;A$21&amp;" - NRPY'!$A:$A"), "&gt;"&amp;INDEX(Console!$A$6:$E$14, MATCH($A17, Console!$A$6:$A$123, 0), MATCH(A$21, Console!$A$6:$E$6, 0)), INDIRECT("'"&amp;A$21&amp;" - NRPY'!$A:$A"), IFERROR("&lt;="&amp;IF(INDEX(Console!$A$6:$E$14, MATCH($A17, Console!$A$6:$A$123, 0)+1, MATCH(A$21, Console!$A$6:$E$6, 0))=0, NA(), INDEX(Console!$A$6:$E$14, MATCH($A17, Console!$A$6:$A$123, 0)+1, MATCH(A$21, Console!$A$6:$E$6, 0))),"&gt;0"))</f>
        <v>0</v>
      </c>
    </row>
    <row r="32" spans="1:32" x14ac:dyDescent="0.25">
      <c r="A32" s="20">
        <f>Console!A16</f>
        <v>0</v>
      </c>
      <c r="B32" s="8">
        <f>Console!C16</f>
        <v>0</v>
      </c>
      <c r="C32" s="5">
        <f ca="1">SUMIFS(INDIRECT("'"&amp;A$21&amp;" - NRPY'!$G:$G"), INDIRECT("'"&amp;A$21&amp;" - NRPY'!$A:$A"), "&gt;"&amp;INDEX(Console!$A$6:$E$14, MATCH($A32, Console!$A$6:$A$123, 0), MATCH(A$21, Console!$A$6:$E$6, 0)), INDIRECT("'"&amp;A$21&amp;" - NRPY'!$A:$A"), IFERROR("&lt;="&amp;IF(INDEX(Console!$A$6:$E$14, MATCH($A32, Console!$A$6:$A$123, 0)+1, MATCH(A$21, Console!$A$6:$E$6, 0))=0, NA(), INDEX(Console!$A$6:$E$14, MATCH($A32, Console!$A$6:$A$123, 0)+1, MATCH(A$21, Console!$A$6:$E$6, 0))),"&gt;0"))</f>
        <v>0</v>
      </c>
      <c r="D32" s="5">
        <f ca="1">SUMIFS(INDIRECT("'"&amp;A$21&amp;" - NRPY'!$C:$C"), INDIRECT("'"&amp;A$21&amp;" - NRPY'!$A:$A"), "&gt;"&amp;INDEX(Console!$A$6:$E$14, MATCH($A18, Console!$A$6:$A$123, 0), MATCH(A$21, Console!$A$6:$E$6, 0)), INDIRECT("'"&amp;A$21&amp;" - NRPY'!$A:$A"), IFERROR("&lt;="&amp;IF(INDEX(Console!$A$6:$E$14, MATCH($A18, Console!$A$6:$A$123, 0)+1, MATCH(A$21, Console!$A$6:$E$6, 0))=0, NA(), INDEX(Console!$A$6:$E$14, MATCH($A18, Console!$A$6:$A$123, 0)+1, MATCH(A$21, Console!$A$6:$E$6, 0))),"&gt;0"))</f>
        <v>0</v>
      </c>
      <c r="E32" s="5">
        <f t="shared" ca="1" si="9"/>
        <v>0</v>
      </c>
      <c r="F32">
        <f ca="1">IF(E32&lt;Console!C$21, Console!C$20, MAX((Console!C$22-E32)/1000*Console!C$23, 0))</f>
        <v>24000</v>
      </c>
      <c r="G32">
        <f ca="1">IF(E32&gt;Console!C$31, MIN((E32-Console!C$31)*Console!C$33/1000, Console!C$32), 0)+IF(E32&gt;Console!C$36, MIN((E32-Console!C$36)*Console!C$38/1000, Console!C$37), 0)</f>
        <v>0</v>
      </c>
      <c r="H32" s="5">
        <f t="shared" ca="1" si="10"/>
        <v>0</v>
      </c>
      <c r="I32" s="18">
        <f ca="1">IF(E32&gt;Console!C$26, IF(E32&lt;Console!C$27, (E32-Console!C$26)*Console!C$28/1000, (Console!C$27-Console!C$26)*Console!C$28/1000), 0)</f>
        <v>0</v>
      </c>
      <c r="J32" s="5">
        <f t="shared" ca="1" si="11"/>
        <v>0</v>
      </c>
      <c r="K32" s="5">
        <f t="shared" ca="1" si="12"/>
        <v>0</v>
      </c>
      <c r="L32" s="5">
        <f t="shared" ca="1" si="13"/>
        <v>0</v>
      </c>
      <c r="M32" s="5">
        <f t="shared" ca="1" si="13"/>
        <v>0</v>
      </c>
      <c r="N32" s="5">
        <f t="shared" ca="1" si="13"/>
        <v>0</v>
      </c>
      <c r="O32" s="5">
        <f t="shared" ca="1" si="13"/>
        <v>0</v>
      </c>
      <c r="P32" s="5">
        <f t="shared" ca="1" si="13"/>
        <v>0</v>
      </c>
      <c r="Q32" s="5">
        <f t="shared" ca="1" si="13"/>
        <v>0</v>
      </c>
      <c r="R32" s="5">
        <f t="shared" ca="1" si="13"/>
        <v>0</v>
      </c>
      <c r="S32" s="5">
        <f t="shared" ca="1" si="13"/>
        <v>0</v>
      </c>
      <c r="T32" s="18">
        <f t="shared" ca="1" si="13"/>
        <v>0</v>
      </c>
      <c r="U32" s="16">
        <f t="shared" ca="1" si="14"/>
        <v>1</v>
      </c>
      <c r="V32" s="16">
        <f t="shared" ca="1" si="15"/>
        <v>0</v>
      </c>
      <c r="W32" s="16">
        <f t="shared" ca="1" si="15"/>
        <v>0</v>
      </c>
      <c r="X32" s="16">
        <f t="shared" ca="1" si="15"/>
        <v>0</v>
      </c>
      <c r="Y32" s="16">
        <f t="shared" ca="1" si="15"/>
        <v>0</v>
      </c>
      <c r="Z32" s="16">
        <f t="shared" ca="1" si="15"/>
        <v>0</v>
      </c>
      <c r="AA32" s="16">
        <f t="shared" ca="1" si="15"/>
        <v>0</v>
      </c>
      <c r="AB32" s="16">
        <f t="shared" ca="1" si="15"/>
        <v>0</v>
      </c>
      <c r="AC32" s="16">
        <f t="shared" ca="1" si="15"/>
        <v>0</v>
      </c>
      <c r="AD32" s="16">
        <f t="shared" ca="1" si="15"/>
        <v>0</v>
      </c>
      <c r="AE32" s="16">
        <f t="shared" ca="1" si="15"/>
        <v>0</v>
      </c>
      <c r="AF32" s="23">
        <f ca="1">SUMIFS(INDIRECT("'"&amp;A$21&amp;" - NRPY'!$O:$O"), INDIRECT("'"&amp;A$21&amp;" - NRPY'!$A:$A"), "&gt;"&amp;INDEX(Console!$A$6:$E$14, MATCH($A18, Console!$A$6:$A$123, 0), MATCH(A$21, Console!$A$6:$E$6, 0)), INDIRECT("'"&amp;A$21&amp;" - NRPY'!$A:$A"), IFERROR("&lt;="&amp;IF(INDEX(Console!$A$6:$E$14, MATCH($A18, Console!$A$6:$A$123, 0)+1, MATCH(A$21, Console!$A$6:$E$6, 0))=0, NA(), INDEX(Console!$A$6:$E$14, MATCH($A18, Console!$A$6:$A$123, 0)+1, MATCH(A$21, Console!$A$6:$E$6, 0))),"&gt;0"))</f>
        <v>0</v>
      </c>
    </row>
    <row r="33" spans="1:32" x14ac:dyDescent="0.25">
      <c r="A33" s="20">
        <f>Console!A17</f>
        <v>0</v>
      </c>
      <c r="B33" s="8">
        <f>Console!C17</f>
        <v>0</v>
      </c>
      <c r="C33" s="5">
        <f ca="1">SUMIFS(INDIRECT("'"&amp;A$21&amp;" - NRPY'!$G:$G"), INDIRECT("'"&amp;A$21&amp;" - NRPY'!$A:$A"), "&gt;"&amp;INDEX(Console!$A$6:$E$14, MATCH($A33, Console!$A$6:$A$123, 0), MATCH(A$21, Console!$A$6:$E$6, 0)), INDIRECT("'"&amp;A$21&amp;" - NRPY'!$A:$A"), IFERROR("&lt;="&amp;IF(INDEX(Console!$A$6:$E$14, MATCH($A33, Console!$A$6:$A$123, 0)+1, MATCH(A$21, Console!$A$6:$E$6, 0))=0, NA(), INDEX(Console!$A$6:$E$14, MATCH($A33, Console!$A$6:$A$123, 0)+1, MATCH(A$21, Console!$A$6:$E$6, 0))),"&gt;0"))</f>
        <v>0</v>
      </c>
      <c r="D33" s="5">
        <f ca="1">SUMIFS(INDIRECT("'"&amp;A$21&amp;" - NRPY'!$C:$C"), INDIRECT("'"&amp;A$21&amp;" - NRPY'!$A:$A"), "&gt;"&amp;INDEX(Console!$A$6:$E$14, MATCH($A19, Console!$A$6:$A$123, 0), MATCH(A$21, Console!$A$6:$E$6, 0)), INDIRECT("'"&amp;A$21&amp;" - NRPY'!$A:$A"), IFERROR("&lt;="&amp;IF(INDEX(Console!$A$6:$E$14, MATCH($A19, Console!$A$6:$A$123, 0)+1, MATCH(A$21, Console!$A$6:$E$6, 0))=0, NA(), INDEX(Console!$A$6:$E$14, MATCH($A19, Console!$A$6:$A$123, 0)+1, MATCH(A$21, Console!$A$6:$E$6, 0))),"&gt;0"))</f>
        <v>0</v>
      </c>
      <c r="E33" s="5">
        <f t="shared" ca="1" si="9"/>
        <v>0</v>
      </c>
      <c r="F33">
        <f ca="1">IF(E33&lt;Console!C$21, Console!C$20, MAX((Console!C$22-E33)/1000*Console!C$23, 0))</f>
        <v>24000</v>
      </c>
      <c r="G33">
        <f ca="1">IF(E33&gt;Console!C$31, MIN((E33-Console!C$31)*Console!C$33/1000, Console!C$32), 0)+IF(E33&gt;Console!C$36, MIN((E33-Console!C$36)*Console!C$38/1000, Console!C$37), 0)</f>
        <v>0</v>
      </c>
      <c r="H33" s="5">
        <f t="shared" ca="1" si="10"/>
        <v>0</v>
      </c>
      <c r="I33" s="18">
        <f ca="1">IF(E33&gt;Console!C$26, IF(E33&lt;Console!C$27, (E33-Console!C$26)*Console!C$28/1000, (Console!C$27-Console!C$26)*Console!C$28/1000), 0)</f>
        <v>0</v>
      </c>
      <c r="J33" s="5">
        <f t="shared" ca="1" si="11"/>
        <v>0</v>
      </c>
      <c r="K33" s="5">
        <f t="shared" ca="1" si="12"/>
        <v>0</v>
      </c>
      <c r="L33" s="5">
        <f t="shared" ca="1" si="13"/>
        <v>0</v>
      </c>
      <c r="M33" s="5">
        <f t="shared" ca="1" si="13"/>
        <v>0</v>
      </c>
      <c r="N33" s="5">
        <f t="shared" ca="1" si="13"/>
        <v>0</v>
      </c>
      <c r="O33" s="5">
        <f t="shared" ca="1" si="13"/>
        <v>0</v>
      </c>
      <c r="P33" s="5">
        <f t="shared" ca="1" si="13"/>
        <v>0</v>
      </c>
      <c r="Q33" s="5">
        <f t="shared" ca="1" si="13"/>
        <v>0</v>
      </c>
      <c r="R33" s="5">
        <f t="shared" ca="1" si="13"/>
        <v>0</v>
      </c>
      <c r="S33" s="5">
        <f t="shared" ca="1" si="13"/>
        <v>0</v>
      </c>
      <c r="T33" s="18">
        <f t="shared" ca="1" si="13"/>
        <v>0</v>
      </c>
      <c r="U33" s="16">
        <f t="shared" ca="1" si="14"/>
        <v>1</v>
      </c>
      <c r="V33" s="16">
        <f t="shared" ca="1" si="15"/>
        <v>0</v>
      </c>
      <c r="W33" s="16">
        <f t="shared" ca="1" si="15"/>
        <v>0</v>
      </c>
      <c r="X33" s="16">
        <f t="shared" ca="1" si="15"/>
        <v>0</v>
      </c>
      <c r="Y33" s="16">
        <f t="shared" ca="1" si="15"/>
        <v>0</v>
      </c>
      <c r="Z33" s="16">
        <f t="shared" ca="1" si="15"/>
        <v>0</v>
      </c>
      <c r="AA33" s="16">
        <f t="shared" ca="1" si="15"/>
        <v>0</v>
      </c>
      <c r="AB33" s="16">
        <f t="shared" ca="1" si="15"/>
        <v>0</v>
      </c>
      <c r="AC33" s="16">
        <f t="shared" ca="1" si="15"/>
        <v>0</v>
      </c>
      <c r="AD33" s="16">
        <f t="shared" ca="1" si="15"/>
        <v>0</v>
      </c>
      <c r="AE33" s="16">
        <f t="shared" ca="1" si="15"/>
        <v>0</v>
      </c>
      <c r="AF33" s="23">
        <f ca="1">SUMIFS(INDIRECT("'"&amp;A$21&amp;" - NRPY'!$O:$O"), INDIRECT("'"&amp;A$21&amp;" - NRPY'!$A:$A"), "&gt;"&amp;INDEX(Console!$A$6:$E$14, MATCH($A19, Console!$A$6:$A$123, 0), MATCH(A$21, Console!$A$6:$E$6, 0)), INDIRECT("'"&amp;A$21&amp;" - NRPY'!$A:$A"), IFERROR("&lt;="&amp;IF(INDEX(Console!$A$6:$E$14, MATCH($A19, Console!$A$6:$A$123, 0)+1, MATCH(A$21, Console!$A$6:$E$6, 0))=0, NA(), INDEX(Console!$A$6:$E$14, MATCH($A19, Console!$A$6:$A$123, 0)+1, MATCH(A$21, Console!$A$6:$E$6, 0))),"&gt;0"))</f>
        <v>0</v>
      </c>
    </row>
    <row r="34" spans="1:32" x14ac:dyDescent="0.25">
      <c r="A34" s="71" t="s">
        <v>454</v>
      </c>
    </row>
    <row r="35" spans="1:32" ht="18" thickBot="1" x14ac:dyDescent="0.35">
      <c r="A35" s="72" t="s">
        <v>68</v>
      </c>
    </row>
    <row r="36" spans="1:32" ht="30.75" thickTop="1" x14ac:dyDescent="0.25">
      <c r="A36" s="27" t="s">
        <v>69</v>
      </c>
      <c r="B36" s="27" t="s">
        <v>85</v>
      </c>
      <c r="C36" s="27" t="s">
        <v>74</v>
      </c>
      <c r="D36" s="27" t="s">
        <v>75</v>
      </c>
      <c r="E36" s="27" t="s">
        <v>76</v>
      </c>
      <c r="F36" s="27" t="s">
        <v>77</v>
      </c>
      <c r="G36" s="27" t="s">
        <v>131</v>
      </c>
      <c r="H36" s="27" t="s">
        <v>132</v>
      </c>
      <c r="I36" s="27" t="s">
        <v>87</v>
      </c>
      <c r="J36" s="28">
        <v>0.03</v>
      </c>
      <c r="K36" s="28">
        <v>0.05</v>
      </c>
      <c r="L36" s="28">
        <v>5.5E-2</v>
      </c>
      <c r="M36" s="28">
        <v>0.06</v>
      </c>
      <c r="N36" s="28">
        <v>6.5000000000000002E-2</v>
      </c>
      <c r="O36" s="28">
        <v>6.9000000000000006E-2</v>
      </c>
      <c r="P36" s="28">
        <v>6.9900000000000004E-2</v>
      </c>
      <c r="Q36" s="28">
        <v>0</v>
      </c>
      <c r="R36" s="28">
        <v>0</v>
      </c>
      <c r="S36" s="28">
        <v>0</v>
      </c>
      <c r="T36" s="28">
        <v>0</v>
      </c>
      <c r="U36" s="28">
        <v>0.03</v>
      </c>
      <c r="V36" s="28">
        <v>0.05</v>
      </c>
      <c r="W36" s="28">
        <v>5.5E-2</v>
      </c>
      <c r="X36" s="28">
        <v>0.06</v>
      </c>
      <c r="Y36" s="28">
        <v>6.5000000000000002E-2</v>
      </c>
      <c r="Z36" s="28">
        <v>6.9000000000000006E-2</v>
      </c>
      <c r="AA36" s="28">
        <v>6.9900000000000004E-2</v>
      </c>
      <c r="AB36" s="28">
        <v>0</v>
      </c>
      <c r="AC36" s="28">
        <v>0</v>
      </c>
      <c r="AD36" s="28">
        <v>0</v>
      </c>
      <c r="AE36" s="28">
        <v>0</v>
      </c>
      <c r="AF36" s="28" t="s">
        <v>362</v>
      </c>
    </row>
    <row r="37" spans="1:32" x14ac:dyDescent="0.25">
      <c r="A37" s="20">
        <f>Console!A7</f>
        <v>0.03</v>
      </c>
      <c r="B37" s="8">
        <f>Console!D7</f>
        <v>0</v>
      </c>
      <c r="C37" s="5">
        <f ca="1">SUMIFS(INDIRECT("'"&amp;A$35&amp;" - NRPY'!$G:$G"), INDIRECT("'"&amp;A$35&amp;" - NRPY'!$A:$A"), "&gt;"&amp;INDEX(Console!$A$6:$E$14, MATCH($A37, Console!$A$6:$A$263, 0), MATCH(A$35, Console!$A$6:$E$6, 0)), INDIRECT("'"&amp;A$35&amp;" - NRPY'!$A:$A"), IFERROR("&lt;="&amp;IF(INDEX(Console!$A$6:$E$14, MATCH($A37, Console!$A$6:$A$263, 0)+1, MATCH(A$35, Console!$A$6:$E$6, 0))=0, NA(), INDEX(Console!$A$6:$E$14, MATCH($A37, Console!$A$6:$A$263, 0)+1, MATCH(A$35, Console!$A$6:$E$6, 0))),"&gt;0"))</f>
        <v>2494278</v>
      </c>
      <c r="D37" s="5">
        <f ca="1">SUMIFS(INDIRECT("'"&amp;A$35&amp;" - NRPY'!$C:$C"), INDIRECT("'"&amp;A$35&amp;" - NRPY'!$A:$A"), "&gt;"&amp;INDEX(Console!$A$6:$E$14, MATCH($A9, Console!$A$6:$A$263, 0), MATCH(A$35, Console!$A$6:$E$6, 0)), INDIRECT("'"&amp;A$35&amp;" - NRPY'!$A:$A"), IFERROR("&lt;="&amp;IF(INDEX(Console!$A$6:$E$14, MATCH($A9, Console!$A$6:$A$263, 0)+1, MATCH(A$35, Console!$A$6:$E$6, 0))=0, NA(), INDEX(Console!$A$6:$E$14, MATCH($A9, Console!$A$6:$A$263, 0)+1, MATCH(A$35, Console!$A$6:$E$6, 0))),"&gt;0"))</f>
        <v>565</v>
      </c>
      <c r="E37" s="5">
        <f t="shared" ref="E37:E47" ca="1" si="16">IFERROR(C37/D37, 0)</f>
        <v>4414.6513274336285</v>
      </c>
      <c r="F37">
        <f ca="1">IF(E37&lt;Console!D$21, Console!D$20, MAX((Console!D$22-E37)/1000*Console!D$23, 0))</f>
        <v>12000</v>
      </c>
      <c r="G37">
        <f ca="1">IF(E37&gt;Console!D$31, MIN((E37-Console!D$31)*Console!D$33/1000, Console!D$32), 0)+IF(E37&gt;Console!D$36, MIN((E37-Console!D$36)*Console!D$38/1000, Console!D$37), 0)</f>
        <v>0</v>
      </c>
      <c r="H37" s="5">
        <f t="shared" ref="H37:H47" ca="1" si="17">G37*D37</f>
        <v>0</v>
      </c>
      <c r="I37" s="17">
        <f ca="1">IF(E37&gt;Console!D$26, IF(E37&lt;Console!D$27, (E37-Console!D$26)*Console!D$28/1000, (Console!D$27-Console!D$26)*Console!D$28/1000), 0)</f>
        <v>0</v>
      </c>
      <c r="J37" s="5">
        <f t="shared" ref="J37:J47" ca="1" si="18">MAX(IF(AND(($E37-$F37)&gt;INDEX($B$37:$B$47, MATCH(J$8,$A$37:$A$47, 0)+1, 0), INDEX($B$37:$B$47, MATCH(J$8,$A$37:$A$47, 0)+1, 0) - INDEX($B$37:$B$47, MATCH(J$8,$A$37:$A$47, 0), 0) &gt;= 0), INDEX($B$37:$B$47, MATCH(J$8,$A$37:$A$47, 0) +1, 0)-INDEX($B$37:$B$47, MATCH(J$8,$A$37:$A$47, 0), 0)-$I37, MAX($E37-$F37, 0) - INDEX($B$37:$B$47, MATCH(J$8,$A$37:$A$47, 0), 0)), 0)</f>
        <v>0</v>
      </c>
      <c r="K37" s="5">
        <f t="shared" ref="K37:K47" ca="1" si="19">MAX(IF(AND(($E37-$F37)&gt;INDEX($B$37:$B$47, MATCH(K$8,$A$37:$A$47, 0)+1, 0), INDEX($B$37:$B$47, MATCH(K$8,$A$37:$A$47, 0)+1, 0) - INDEX($B$37:$B$47, MATCH(K$8,$A$37:$A$47, 0), 0) &gt;= 0), INDEX($B$37:$B$47, MATCH(K$8,$A$37:$A$47, 0) +1, 0)-INDEX($B$37:$B$47, MATCH(K$8,$A$37:$A$47, 0), 0)+$I37, MAX($E37-$F37, 0) - INDEX($B$37:$B$47, MATCH(K$8,$A$37:$A$47, 0), 0)), 0)</f>
        <v>0</v>
      </c>
      <c r="L37" s="5">
        <f t="shared" ref="L37:T47" ca="1" si="20">MAX(IF(AND(($E37-$F37)&gt;INDEX($B$37:$B$47, MATCH(L$8,$A$37:$A$47, 0)+1, 0), INDEX($B$37:$B$47, MATCH(L$8,$A$37:$A$47, 0)+1, 0) - INDEX($B$37:$B$47, MATCH(L$8,$A$37:$A$47, 0), 0) &gt;= 0), INDEX($B$37:$B$47, MATCH(L$8,$A$37:$A$47, 0) +1, 0)-INDEX($B$37:$B$47, MATCH(L$8,$A$37:$A$47, 0), 0), MAX($E37-$F37, 0) - INDEX($B$37:$B$47, MATCH(L$8,$A$37:$A$47, 0), 0)), 0)</f>
        <v>0</v>
      </c>
      <c r="M37" s="5">
        <f t="shared" ca="1" si="20"/>
        <v>0</v>
      </c>
      <c r="N37" s="5">
        <f t="shared" ca="1" si="20"/>
        <v>0</v>
      </c>
      <c r="O37" s="5">
        <f t="shared" ca="1" si="20"/>
        <v>0</v>
      </c>
      <c r="P37" s="5">
        <f t="shared" ca="1" si="20"/>
        <v>0</v>
      </c>
      <c r="Q37" s="5">
        <f t="shared" ca="1" si="20"/>
        <v>0</v>
      </c>
      <c r="R37" s="5">
        <f t="shared" ca="1" si="20"/>
        <v>0</v>
      </c>
      <c r="S37" s="5">
        <f t="shared" ca="1" si="20"/>
        <v>0</v>
      </c>
      <c r="T37" s="17">
        <f t="shared" ca="1" si="20"/>
        <v>0</v>
      </c>
      <c r="U37" s="16">
        <f t="shared" ref="U37:U47" ca="1" si="21">IFERROR(1 - SUM(V37:AE37), 0)</f>
        <v>1</v>
      </c>
      <c r="V37" s="16">
        <f t="shared" ref="V37:AE47" ca="1" si="22">IFERROR(K37/SUM($J37:$T37), 0)</f>
        <v>0</v>
      </c>
      <c r="W37" s="16">
        <f t="shared" ca="1" si="22"/>
        <v>0</v>
      </c>
      <c r="X37" s="16">
        <f t="shared" ca="1" si="22"/>
        <v>0</v>
      </c>
      <c r="Y37" s="16">
        <f t="shared" ca="1" si="22"/>
        <v>0</v>
      </c>
      <c r="Z37" s="16">
        <f t="shared" ca="1" si="22"/>
        <v>0</v>
      </c>
      <c r="AA37" s="16">
        <f t="shared" ca="1" si="22"/>
        <v>0</v>
      </c>
      <c r="AB37" s="16">
        <f t="shared" ca="1" si="22"/>
        <v>0</v>
      </c>
      <c r="AC37" s="16">
        <f t="shared" ca="1" si="22"/>
        <v>0</v>
      </c>
      <c r="AD37" s="16">
        <f t="shared" ca="1" si="22"/>
        <v>0</v>
      </c>
      <c r="AE37" s="16">
        <f t="shared" ca="1" si="22"/>
        <v>0</v>
      </c>
      <c r="AF37" s="23">
        <f ca="1">SUMIFS(INDIRECT("'"&amp;A$35&amp;" - NRPY'!$O:$O"), INDIRECT("'"&amp;A$35&amp;" - NRPY'!$A:$A"), "&gt;"&amp;INDEX(Console!$A$6:$E$14, MATCH($A9, Console!$A$6:$A$263, 0), MATCH(A$35, Console!$A$6:$E$6, 0)), INDIRECT("'"&amp;A$35&amp;" - NRPY'!$A:$A"), IFERROR("&lt;="&amp;IF(INDEX(Console!$A$6:$E$14, MATCH($A9, Console!$A$6:$A$263, 0)+1, MATCH(A$35, Console!$A$6:$E$6, 0))=0, NA(), INDEX(Console!$A$6:$E$14, MATCH($A9, Console!$A$6:$A$263, 0)+1, MATCH(A$35, Console!$A$6:$E$6, 0))),"&gt;0"))</f>
        <v>7331</v>
      </c>
    </row>
    <row r="38" spans="1:32" x14ac:dyDescent="0.25">
      <c r="A38" s="20">
        <f>Console!A8</f>
        <v>0.05</v>
      </c>
      <c r="B38" s="8">
        <f>Console!D8</f>
        <v>10000</v>
      </c>
      <c r="C38" s="5">
        <f ca="1">SUMIFS(INDIRECT("'"&amp;A$35&amp;" - NRPY'!$G:$G"), INDIRECT("'"&amp;A$35&amp;" - NRPY'!$A:$A"), "&gt;"&amp;INDEX(Console!$A$6:$E$14, MATCH($A38, Console!$A$6:$A$263, 0), MATCH(A$35, Console!$A$6:$E$6, 0)), INDIRECT("'"&amp;A$35&amp;" - NRPY'!$A:$A"), IFERROR("&lt;="&amp;IF(INDEX(Console!$A$6:$E$14, MATCH($A38, Console!$A$6:$A$263, 0)+1, MATCH(A$35, Console!$A$6:$E$6, 0))=0, NA(), INDEX(Console!$A$6:$E$14, MATCH($A38, Console!$A$6:$A$263, 0)+1, MATCH(A$35, Console!$A$6:$E$6, 0))),"&gt;0"))</f>
        <v>77807674</v>
      </c>
      <c r="D38" s="5">
        <f ca="1">SUMIFS(INDIRECT("'"&amp;A$35&amp;" - NRPY'!$C:$C"), INDIRECT("'"&amp;A$35&amp;" - NRPY'!$A:$A"), "&gt;"&amp;INDEX(Console!$A$6:$E$14, MATCH($A10, Console!$A$6:$A$263, 0), MATCH(A$35, Console!$A$6:$E$6, 0)), INDIRECT("'"&amp;A$35&amp;" - NRPY'!$A:$A"), IFERROR("&lt;="&amp;IF(INDEX(Console!$A$6:$E$14, MATCH($A10, Console!$A$6:$A$263, 0)+1, MATCH(A$35, Console!$A$6:$E$6, 0))=0, NA(), INDEX(Console!$A$6:$E$14, MATCH($A10, Console!$A$6:$A$263, 0)+1, MATCH(A$35, Console!$A$6:$E$6, 0))),"&gt;0"))</f>
        <v>2570</v>
      </c>
      <c r="E38" s="5">
        <f t="shared" ca="1" si="16"/>
        <v>30275.35953307393</v>
      </c>
      <c r="F38">
        <f ca="1">IF(E38&lt;Console!D$21, Console!D$20, MAX((Console!D$22-E38)/1000*Console!D$23, 0))</f>
        <v>5724.6404669260701</v>
      </c>
      <c r="G38">
        <f ca="1">IF(E38&gt;Console!D$31, MIN((E38-Console!D$31)*Console!D$33/1000, Console!D$32), 0)+IF(E38&gt;Console!D$36, MIN((E38-Console!D$36)*Console!D$38/1000, Console!D$37), 0)</f>
        <v>0</v>
      </c>
      <c r="H38" s="5">
        <f t="shared" ca="1" si="17"/>
        <v>0</v>
      </c>
      <c r="I38" s="18">
        <f ca="1">IF(E38&gt;Console!D$26, IF(E38&lt;Console!D$27, (E38-Console!D$26)*Console!D$28/1000, (Console!D$27-Console!D$26)*Console!D$28/1000), 0)</f>
        <v>0</v>
      </c>
      <c r="J38" s="5">
        <f t="shared" ca="1" si="18"/>
        <v>10000</v>
      </c>
      <c r="K38" s="5">
        <f t="shared" ca="1" si="19"/>
        <v>14550.71906614786</v>
      </c>
      <c r="L38" s="5">
        <f t="shared" ca="1" si="20"/>
        <v>0</v>
      </c>
      <c r="M38" s="5">
        <f t="shared" ca="1" si="20"/>
        <v>0</v>
      </c>
      <c r="N38" s="5">
        <f t="shared" ca="1" si="20"/>
        <v>0</v>
      </c>
      <c r="O38" s="5">
        <f t="shared" ca="1" si="20"/>
        <v>0</v>
      </c>
      <c r="P38" s="5">
        <f t="shared" ca="1" si="20"/>
        <v>0</v>
      </c>
      <c r="Q38" s="5">
        <f t="shared" ca="1" si="20"/>
        <v>0</v>
      </c>
      <c r="R38" s="5">
        <f t="shared" ca="1" si="20"/>
        <v>0</v>
      </c>
      <c r="S38" s="5">
        <f t="shared" ca="1" si="20"/>
        <v>0</v>
      </c>
      <c r="T38" s="18">
        <f t="shared" ca="1" si="20"/>
        <v>0</v>
      </c>
      <c r="U38" s="16">
        <f t="shared" ca="1" si="21"/>
        <v>0.40732004521157406</v>
      </c>
      <c r="V38" s="16">
        <f t="shared" ca="1" si="22"/>
        <v>0.59267995478842594</v>
      </c>
      <c r="W38" s="16">
        <f t="shared" ca="1" si="22"/>
        <v>0</v>
      </c>
      <c r="X38" s="16">
        <f t="shared" ca="1" si="22"/>
        <v>0</v>
      </c>
      <c r="Y38" s="16">
        <f t="shared" ca="1" si="22"/>
        <v>0</v>
      </c>
      <c r="Z38" s="16">
        <f t="shared" ca="1" si="22"/>
        <v>0</v>
      </c>
      <c r="AA38" s="16">
        <f t="shared" ca="1" si="22"/>
        <v>0</v>
      </c>
      <c r="AB38" s="16">
        <f t="shared" ca="1" si="22"/>
        <v>0</v>
      </c>
      <c r="AC38" s="16">
        <f t="shared" ca="1" si="22"/>
        <v>0</v>
      </c>
      <c r="AD38" s="16">
        <f t="shared" ca="1" si="22"/>
        <v>0</v>
      </c>
      <c r="AE38" s="16">
        <f t="shared" ca="1" si="22"/>
        <v>0</v>
      </c>
      <c r="AF38" s="23">
        <f ca="1">SUMIFS(INDIRECT("'"&amp;A$35&amp;" - NRPY'!$O:$O"), INDIRECT("'"&amp;A$35&amp;" - NRPY'!$A:$A"), "&gt;"&amp;INDEX(Console!$A$6:$E$14, MATCH($A10, Console!$A$6:$A$263, 0), MATCH(A$35, Console!$A$6:$E$6, 0)), INDIRECT("'"&amp;A$35&amp;" - NRPY'!$A:$A"), IFERROR("&lt;="&amp;IF(INDEX(Console!$A$6:$E$14, MATCH($A10, Console!$A$6:$A$263, 0)+1, MATCH(A$35, Console!$A$6:$E$6, 0))=0, NA(), INDEX(Console!$A$6:$E$14, MATCH($A10, Console!$A$6:$A$263, 0)+1, MATCH(A$35, Console!$A$6:$E$6, 0))),"&gt;0"))</f>
        <v>1374859</v>
      </c>
    </row>
    <row r="39" spans="1:32" x14ac:dyDescent="0.25">
      <c r="A39" s="20">
        <f>Console!A9</f>
        <v>5.5E-2</v>
      </c>
      <c r="B39" s="8">
        <f>Console!D9</f>
        <v>50000</v>
      </c>
      <c r="C39" s="5">
        <f ca="1">SUMIFS(INDIRECT("'"&amp;A$35&amp;" - NRPY'!$G:$G"), INDIRECT("'"&amp;A$35&amp;" - NRPY'!$A:$A"), "&gt;"&amp;INDEX(Console!$A$6:$E$14, MATCH($A39, Console!$A$6:$A$263, 0), MATCH(A$35, Console!$A$6:$E$6, 0)), INDIRECT("'"&amp;A$35&amp;" - NRPY'!$A:$A"), IFERROR("&lt;="&amp;IF(INDEX(Console!$A$6:$E$14, MATCH($A39, Console!$A$6:$A$263, 0)+1, MATCH(A$35, Console!$A$6:$E$6, 0))=0, NA(), INDEX(Console!$A$6:$E$14, MATCH($A39, Console!$A$6:$A$263, 0)+1, MATCH(A$35, Console!$A$6:$E$6, 0))),"&gt;0"))</f>
        <v>192237206</v>
      </c>
      <c r="D39" s="5">
        <f ca="1">SUMIFS(INDIRECT("'"&amp;A$35&amp;" - NRPY'!$C:$C"), INDIRECT("'"&amp;A$35&amp;" - NRPY'!$A:$A"), "&gt;"&amp;INDEX(Console!$A$6:$E$14, MATCH($A11, Console!$A$6:$A$263, 0), MATCH(A$35, Console!$A$6:$E$6, 0)), INDIRECT("'"&amp;A$35&amp;" - NRPY'!$A:$A"), IFERROR("&lt;="&amp;IF(INDEX(Console!$A$6:$E$14, MATCH($A11, Console!$A$6:$A$263, 0)+1, MATCH(A$35, Console!$A$6:$E$6, 0))=0, NA(), INDEX(Console!$A$6:$E$14, MATCH($A11, Console!$A$6:$A$263, 0)+1, MATCH(A$35, Console!$A$6:$E$6, 0))),"&gt;0"))</f>
        <v>2638</v>
      </c>
      <c r="E39" s="5">
        <f t="shared" ca="1" si="16"/>
        <v>72872.329795299476</v>
      </c>
      <c r="F39">
        <f ca="1">IF(E39&lt;Console!D$21, Console!D$20, MAX((Console!D$22-E39)/1000*Console!D$23, 0))</f>
        <v>0</v>
      </c>
      <c r="G39">
        <f ca="1">IF(E39&gt;Console!D$31, MIN((E39-Console!D$31)*Console!D$33/1000, Console!D$32), 0)+IF(E39&gt;Console!D$36, MIN((E39-Console!D$36)*Console!D$38/1000, Console!D$37), 0)</f>
        <v>0</v>
      </c>
      <c r="H39" s="5">
        <f t="shared" ca="1" si="17"/>
        <v>0</v>
      </c>
      <c r="I39" s="18">
        <f ca="1">IF(E39&gt;Console!D$26, IF(E39&lt;Console!D$27, (E39-Console!D$26)*Console!D$28/1000, (Console!D$27-Console!D$26)*Console!D$28/1000), 0)</f>
        <v>9048.9319181197898</v>
      </c>
      <c r="J39" s="5">
        <f t="shared" ca="1" si="18"/>
        <v>951.06808188021023</v>
      </c>
      <c r="K39" s="5">
        <f t="shared" ca="1" si="19"/>
        <v>49048.931918119793</v>
      </c>
      <c r="L39" s="5">
        <f t="shared" ca="1" si="20"/>
        <v>22872.329795299476</v>
      </c>
      <c r="M39" s="5">
        <f t="shared" ca="1" si="20"/>
        <v>0</v>
      </c>
      <c r="N39" s="5">
        <f t="shared" ca="1" si="20"/>
        <v>0</v>
      </c>
      <c r="O39" s="5">
        <f t="shared" ca="1" si="20"/>
        <v>0</v>
      </c>
      <c r="P39" s="5">
        <f t="shared" ca="1" si="20"/>
        <v>0</v>
      </c>
      <c r="Q39" s="5">
        <f t="shared" ca="1" si="20"/>
        <v>0</v>
      </c>
      <c r="R39" s="5">
        <f t="shared" ca="1" si="20"/>
        <v>0</v>
      </c>
      <c r="S39" s="5">
        <f t="shared" ca="1" si="20"/>
        <v>0</v>
      </c>
      <c r="T39" s="18">
        <f t="shared" ca="1" si="20"/>
        <v>0</v>
      </c>
      <c r="U39" s="16">
        <f t="shared" ca="1" si="21"/>
        <v>1.3051155144233606E-2</v>
      </c>
      <c r="V39" s="16">
        <f t="shared" ca="1" si="22"/>
        <v>0.67308033180632054</v>
      </c>
      <c r="W39" s="16">
        <f t="shared" ca="1" si="22"/>
        <v>0.31386851304944585</v>
      </c>
      <c r="X39" s="16">
        <f t="shared" ca="1" si="22"/>
        <v>0</v>
      </c>
      <c r="Y39" s="16">
        <f t="shared" ca="1" si="22"/>
        <v>0</v>
      </c>
      <c r="Z39" s="16">
        <f t="shared" ca="1" si="22"/>
        <v>0</v>
      </c>
      <c r="AA39" s="16">
        <f t="shared" ca="1" si="22"/>
        <v>0</v>
      </c>
      <c r="AB39" s="16">
        <f t="shared" ca="1" si="22"/>
        <v>0</v>
      </c>
      <c r="AC39" s="16">
        <f t="shared" ca="1" si="22"/>
        <v>0</v>
      </c>
      <c r="AD39" s="16">
        <f t="shared" ca="1" si="22"/>
        <v>0</v>
      </c>
      <c r="AE39" s="16">
        <f t="shared" ca="1" si="22"/>
        <v>0</v>
      </c>
      <c r="AF39" s="23">
        <f ca="1">SUMIFS(INDIRECT("'"&amp;A$35&amp;" - NRPY'!$O:$O"), INDIRECT("'"&amp;A$35&amp;" - NRPY'!$A:$A"), "&gt;"&amp;INDEX(Console!$A$6:$E$14, MATCH($A11, Console!$A$6:$A$263, 0), MATCH(A$35, Console!$A$6:$E$6, 0)), INDIRECT("'"&amp;A$35&amp;" - NRPY'!$A:$A"), IFERROR("&lt;="&amp;IF(INDEX(Console!$A$6:$E$14, MATCH($A11, Console!$A$6:$A$263, 0)+1, MATCH(A$35, Console!$A$6:$E$6, 0))=0, NA(), INDEX(Console!$A$6:$E$14, MATCH($A11, Console!$A$6:$A$263, 0)+1, MATCH(A$35, Console!$A$6:$E$6, 0))),"&gt;0"))</f>
        <v>4770626</v>
      </c>
    </row>
    <row r="40" spans="1:32" x14ac:dyDescent="0.25">
      <c r="A40" s="20">
        <f>Console!A10</f>
        <v>0.06</v>
      </c>
      <c r="B40" s="8">
        <f>Console!D10</f>
        <v>100000</v>
      </c>
      <c r="C40" s="5">
        <f ca="1">SUMIFS(INDIRECT("'"&amp;A$35&amp;" - NRPY'!$G:$G"), INDIRECT("'"&amp;A$35&amp;" - NRPY'!$A:$A"), "&gt;"&amp;INDEX(Console!$A$6:$E$14, MATCH($A40, Console!$A$6:$A$263, 0), MATCH(A$35, Console!$A$6:$E$6, 0)), INDIRECT("'"&amp;A$35&amp;" - NRPY'!$A:$A"), IFERROR("&lt;="&amp;IF(INDEX(Console!$A$6:$E$14, MATCH($A40, Console!$A$6:$A$263, 0)+1, MATCH(A$35, Console!$A$6:$E$6, 0))=0, NA(), INDEX(Console!$A$6:$E$14, MATCH($A40, Console!$A$6:$A$263, 0)+1, MATCH(A$35, Console!$A$6:$E$6, 0))),"&gt;0"))</f>
        <v>259564687</v>
      </c>
      <c r="D40" s="5">
        <f ca="1">SUMIFS(INDIRECT("'"&amp;A$35&amp;" - NRPY'!$C:$C"), INDIRECT("'"&amp;A$35&amp;" - NRPY'!$A:$A"), "&gt;"&amp;INDEX(Console!$A$6:$E$14, MATCH($A12, Console!$A$6:$A$263, 0), MATCH(A$35, Console!$A$6:$E$6, 0)), INDIRECT("'"&amp;A$35&amp;" - NRPY'!$A:$A"), IFERROR("&lt;="&amp;IF(INDEX(Console!$A$6:$E$14, MATCH($A12, Console!$A$6:$A$263, 0)+1, MATCH(A$35, Console!$A$6:$E$6, 0))=0, NA(), INDEX(Console!$A$6:$E$14, MATCH($A12, Console!$A$6:$A$263, 0)+1, MATCH(A$35, Console!$A$6:$E$6, 0))),"&gt;0"))</f>
        <v>1888</v>
      </c>
      <c r="E40" s="5">
        <f t="shared" ca="1" si="16"/>
        <v>137481.29608050847</v>
      </c>
      <c r="F40">
        <f ca="1">IF(E40&lt;Console!D$21, Console!D$20, MAX((Console!D$22-E40)/1000*Console!D$23, 0))</f>
        <v>0</v>
      </c>
      <c r="G40">
        <f ca="1">IF(E40&gt;Console!D$31, MIN((E40-Console!D$31)*Console!D$33/1000, Console!D$32), 0)+IF(E40&gt;Console!D$36, MIN((E40-Console!D$36)*Console!D$38/1000, Console!D$37), 0)</f>
        <v>0</v>
      </c>
      <c r="H40" s="5">
        <f t="shared" ca="1" si="17"/>
        <v>0</v>
      </c>
      <c r="I40" s="18">
        <f ca="1">IF(E40&gt;Console!D$26, IF(E40&lt;Console!D$27, (E40-Console!D$26)*Console!D$28/1000, (Console!D$27-Console!D$26)*Console!D$28/1000), 0)</f>
        <v>10000</v>
      </c>
      <c r="J40" s="5">
        <f t="shared" ca="1" si="18"/>
        <v>0</v>
      </c>
      <c r="K40" s="5">
        <f t="shared" ca="1" si="19"/>
        <v>50000</v>
      </c>
      <c r="L40" s="5">
        <f t="shared" ca="1" si="20"/>
        <v>50000</v>
      </c>
      <c r="M40" s="5">
        <f t="shared" ca="1" si="20"/>
        <v>37481.296080508473</v>
      </c>
      <c r="N40" s="5">
        <f t="shared" ca="1" si="20"/>
        <v>0</v>
      </c>
      <c r="O40" s="5">
        <f t="shared" ca="1" si="20"/>
        <v>0</v>
      </c>
      <c r="P40" s="5">
        <f t="shared" ca="1" si="20"/>
        <v>0</v>
      </c>
      <c r="Q40" s="5">
        <f t="shared" ca="1" si="20"/>
        <v>0</v>
      </c>
      <c r="R40" s="5">
        <f t="shared" ca="1" si="20"/>
        <v>0</v>
      </c>
      <c r="S40" s="5">
        <f t="shared" ca="1" si="20"/>
        <v>0</v>
      </c>
      <c r="T40" s="18">
        <f t="shared" ca="1" si="20"/>
        <v>0</v>
      </c>
      <c r="U40" s="16">
        <f t="shared" ca="1" si="21"/>
        <v>0</v>
      </c>
      <c r="V40" s="16">
        <f t="shared" ca="1" si="22"/>
        <v>0.36368583527696896</v>
      </c>
      <c r="W40" s="16">
        <f t="shared" ca="1" si="22"/>
        <v>0.36368583527696896</v>
      </c>
      <c r="X40" s="16">
        <f t="shared" ca="1" si="22"/>
        <v>0.27262832944606213</v>
      </c>
      <c r="Y40" s="16">
        <f t="shared" ca="1" si="22"/>
        <v>0</v>
      </c>
      <c r="Z40" s="16">
        <f t="shared" ca="1" si="22"/>
        <v>0</v>
      </c>
      <c r="AA40" s="16">
        <f t="shared" ca="1" si="22"/>
        <v>0</v>
      </c>
      <c r="AB40" s="16">
        <f t="shared" ca="1" si="22"/>
        <v>0</v>
      </c>
      <c r="AC40" s="16">
        <f t="shared" ca="1" si="22"/>
        <v>0</v>
      </c>
      <c r="AD40" s="16">
        <f t="shared" ca="1" si="22"/>
        <v>0</v>
      </c>
      <c r="AE40" s="16">
        <f t="shared" ca="1" si="22"/>
        <v>0</v>
      </c>
      <c r="AF40" s="23">
        <f ca="1">SUMIFS(INDIRECT("'"&amp;A$35&amp;" - NRPY'!$O:$O"), INDIRECT("'"&amp;A$35&amp;" - NRPY'!$A:$A"), "&gt;"&amp;INDEX(Console!$A$6:$E$14, MATCH($A12, Console!$A$6:$A$263, 0), MATCH(A$35, Console!$A$6:$E$6, 0)), INDIRECT("'"&amp;A$35&amp;" - NRPY'!$A:$A"), IFERROR("&lt;="&amp;IF(INDEX(Console!$A$6:$E$14, MATCH($A12, Console!$A$6:$A$263, 0)+1, MATCH(A$35, Console!$A$6:$E$6, 0))=0, NA(), INDEX(Console!$A$6:$E$14, MATCH($A12, Console!$A$6:$A$263, 0)+1, MATCH(A$35, Console!$A$6:$E$6, 0))),"&gt;0"))</f>
        <v>6144791</v>
      </c>
    </row>
    <row r="41" spans="1:32" x14ac:dyDescent="0.25">
      <c r="A41" s="20">
        <f>Console!A11</f>
        <v>6.5000000000000002E-2</v>
      </c>
      <c r="B41" s="8">
        <f>Console!D11</f>
        <v>200000</v>
      </c>
      <c r="C41" s="5">
        <f ca="1">SUMIFS(INDIRECT("'"&amp;A$35&amp;" - NRPY'!$G:$G"), INDIRECT("'"&amp;A$35&amp;" - NRPY'!$A:$A"), "&gt;"&amp;INDEX(Console!$A$6:$E$14, MATCH($A41, Console!$A$6:$A$263, 0), MATCH(A$35, Console!$A$6:$E$6, 0)), INDIRECT("'"&amp;A$35&amp;" - NRPY'!$A:$A"), IFERROR("&lt;="&amp;IF(INDEX(Console!$A$6:$E$14, MATCH($A41, Console!$A$6:$A$263, 0)+1, MATCH(A$35, Console!$A$6:$E$6, 0))=0, NA(), INDEX(Console!$A$6:$E$14, MATCH($A41, Console!$A$6:$A$263, 0)+1, MATCH(A$35, Console!$A$6:$E$6, 0))),"&gt;0"))</f>
        <v>62090969</v>
      </c>
      <c r="D41" s="5">
        <f ca="1">SUMIFS(INDIRECT("'"&amp;A$35&amp;" - NRPY'!$C:$C"), INDIRECT("'"&amp;A$35&amp;" - NRPY'!$A:$A"), "&gt;"&amp;INDEX(Console!$A$6:$E$14, MATCH($A13, Console!$A$6:$A$263, 0), MATCH(A$35, Console!$A$6:$E$6, 0)), INDIRECT("'"&amp;A$35&amp;" - NRPY'!$A:$A"), IFERROR("&lt;="&amp;IF(INDEX(Console!$A$6:$E$14, MATCH($A13, Console!$A$6:$A$263, 0)+1, MATCH(A$35, Console!$A$6:$E$6, 0))=0, NA(), INDEX(Console!$A$6:$E$14, MATCH($A13, Console!$A$6:$A$263, 0)+1, MATCH(A$35, Console!$A$6:$E$6, 0))),"&gt;0"))</f>
        <v>280</v>
      </c>
      <c r="E41" s="5">
        <f t="shared" ca="1" si="16"/>
        <v>221753.46071428573</v>
      </c>
      <c r="F41">
        <f ca="1">IF(E41&lt;Console!D$21, Console!D$20, MAX((Console!D$22-E41)/1000*Console!D$23, 0))</f>
        <v>0</v>
      </c>
      <c r="G41">
        <f ca="1">IF(E41&gt;Console!D$31, MIN((E41-Console!D$31)*Console!D$33/1000, Console!D$32), 0)+IF(E41&gt;Console!D$36, MIN((E41-Console!D$36)*Console!D$38/1000, Console!D$37), 0)</f>
        <v>391.56229285714312</v>
      </c>
      <c r="H41" s="5">
        <f t="shared" ca="1" si="17"/>
        <v>109637.44200000007</v>
      </c>
      <c r="I41" s="18">
        <f ca="1">IF(E41&gt;Console!D$26, IF(E41&lt;Console!D$27, (E41-Console!D$26)*Console!D$28/1000, (Console!D$27-Console!D$26)*Console!D$28/1000), 0)</f>
        <v>10000</v>
      </c>
      <c r="J41" s="5">
        <f t="shared" ca="1" si="18"/>
        <v>0</v>
      </c>
      <c r="K41" s="5">
        <f t="shared" ca="1" si="19"/>
        <v>50000</v>
      </c>
      <c r="L41" s="5">
        <f t="shared" ca="1" si="20"/>
        <v>50000</v>
      </c>
      <c r="M41" s="5">
        <f t="shared" ca="1" si="20"/>
        <v>100000</v>
      </c>
      <c r="N41" s="5">
        <f t="shared" ca="1" si="20"/>
        <v>21753.460714285728</v>
      </c>
      <c r="O41" s="5">
        <f t="shared" ca="1" si="20"/>
        <v>0</v>
      </c>
      <c r="P41" s="5">
        <f t="shared" ca="1" si="20"/>
        <v>0</v>
      </c>
      <c r="Q41" s="5">
        <f t="shared" ca="1" si="20"/>
        <v>0</v>
      </c>
      <c r="R41" s="5">
        <f t="shared" ca="1" si="20"/>
        <v>0</v>
      </c>
      <c r="S41" s="5">
        <f t="shared" ca="1" si="20"/>
        <v>0</v>
      </c>
      <c r="T41" s="18">
        <f t="shared" ca="1" si="20"/>
        <v>0</v>
      </c>
      <c r="U41" s="16">
        <f t="shared" ca="1" si="21"/>
        <v>0</v>
      </c>
      <c r="V41" s="16">
        <f t="shared" ca="1" si="22"/>
        <v>0.22547562432146934</v>
      </c>
      <c r="W41" s="16">
        <f t="shared" ca="1" si="22"/>
        <v>0.22547562432146934</v>
      </c>
      <c r="X41" s="16">
        <f t="shared" ca="1" si="22"/>
        <v>0.45095124864293867</v>
      </c>
      <c r="Y41" s="16">
        <f t="shared" ca="1" si="22"/>
        <v>9.8097502714122625E-2</v>
      </c>
      <c r="Z41" s="16">
        <f t="shared" ca="1" si="22"/>
        <v>0</v>
      </c>
      <c r="AA41" s="16">
        <f t="shared" ca="1" si="22"/>
        <v>0</v>
      </c>
      <c r="AB41" s="16">
        <f t="shared" ca="1" si="22"/>
        <v>0</v>
      </c>
      <c r="AC41" s="16">
        <f t="shared" ca="1" si="22"/>
        <v>0</v>
      </c>
      <c r="AD41" s="16">
        <f t="shared" ca="1" si="22"/>
        <v>0</v>
      </c>
      <c r="AE41" s="16">
        <f t="shared" ca="1" si="22"/>
        <v>0</v>
      </c>
      <c r="AF41" s="23">
        <f ca="1">SUMIFS(INDIRECT("'"&amp;A$35&amp;" - NRPY'!$O:$O"), INDIRECT("'"&amp;A$35&amp;" - NRPY'!$A:$A"), "&gt;"&amp;INDEX(Console!$A$6:$E$14, MATCH($A13, Console!$A$6:$A$263, 0), MATCH(A$35, Console!$A$6:$E$6, 0)), INDIRECT("'"&amp;A$35&amp;" - NRPY'!$A:$A"), IFERROR("&lt;="&amp;IF(INDEX(Console!$A$6:$E$14, MATCH($A13, Console!$A$6:$A$263, 0)+1, MATCH(A$35, Console!$A$6:$E$6, 0))=0, NA(), INDEX(Console!$A$6:$E$14, MATCH($A13, Console!$A$6:$A$263, 0)+1, MATCH(A$35, Console!$A$6:$E$6, 0))),"&gt;0"))</f>
        <v>1256639</v>
      </c>
    </row>
    <row r="42" spans="1:32" x14ac:dyDescent="0.25">
      <c r="A42" s="20">
        <f>Console!A12</f>
        <v>6.9000000000000006E-2</v>
      </c>
      <c r="B42" s="8">
        <f>Console!D12</f>
        <v>250000</v>
      </c>
      <c r="C42" s="5">
        <f ca="1">SUMIFS(INDIRECT("'"&amp;A$35&amp;" - NRPY'!$G:$G"), INDIRECT("'"&amp;A$35&amp;" - NRPY'!$A:$A"), "&gt;"&amp;INDEX(Console!$A$6:$E$14, MATCH($A42, Console!$A$6:$A$263, 0), MATCH(A$35, Console!$A$6:$E$6, 0)), INDIRECT("'"&amp;A$35&amp;" - NRPY'!$A:$A"), IFERROR("&lt;="&amp;IF(INDEX(Console!$A$6:$E$14, MATCH($A42, Console!$A$6:$A$263, 0)+1, MATCH(A$35, Console!$A$6:$E$6, 0))=0, NA(), INDEX(Console!$A$6:$E$14, MATCH($A42, Console!$A$6:$A$263, 0)+1, MATCH(A$35, Console!$A$6:$E$6, 0))),"&gt;0"))</f>
        <v>171781469</v>
      </c>
      <c r="D42" s="5">
        <f ca="1">SUMIFS(INDIRECT("'"&amp;A$35&amp;" - NRPY'!$C:$C"), INDIRECT("'"&amp;A$35&amp;" - NRPY'!$A:$A"), "&gt;"&amp;INDEX(Console!$A$6:$E$14, MATCH($A14, Console!$A$6:$A$263, 0), MATCH(A$35, Console!$A$6:$E$6, 0)), INDIRECT("'"&amp;A$35&amp;" - NRPY'!$A:$A"), IFERROR("&lt;="&amp;IF(INDEX(Console!$A$6:$E$14, MATCH($A14, Console!$A$6:$A$263, 0)+1, MATCH(A$35, Console!$A$6:$E$6, 0))=0, NA(), INDEX(Console!$A$6:$E$14, MATCH($A14, Console!$A$6:$A$263, 0)+1, MATCH(A$35, Console!$A$6:$E$6, 0))),"&gt;0"))</f>
        <v>497</v>
      </c>
      <c r="E42" s="5">
        <f t="shared" ca="1" si="16"/>
        <v>345636.75855130784</v>
      </c>
      <c r="F42">
        <f ca="1">IF(E42&lt;Console!D$21, Console!D$20, MAX((Console!D$22-E42)/1000*Console!D$23, 0))</f>
        <v>0</v>
      </c>
      <c r="G42">
        <f ca="1">IF(E42&gt;Console!D$31, MIN((E42-Console!D$31)*Console!D$33/1000, Console!D$32), 0)+IF(E42&gt;Console!D$36, MIN((E42-Console!D$36)*Console!D$38/1000, Console!D$37), 0)</f>
        <v>2621.4616539235412</v>
      </c>
      <c r="H42" s="5">
        <f t="shared" ca="1" si="17"/>
        <v>1302866.442</v>
      </c>
      <c r="I42" s="18">
        <f ca="1">IF(E42&gt;Console!D$26, IF(E42&lt;Console!D$27, (E42-Console!D$26)*Console!D$28/1000, (Console!D$27-Console!D$26)*Console!D$28/1000), 0)</f>
        <v>10000</v>
      </c>
      <c r="J42" s="5">
        <f t="shared" ca="1" si="18"/>
        <v>0</v>
      </c>
      <c r="K42" s="5">
        <f t="shared" ca="1" si="19"/>
        <v>50000</v>
      </c>
      <c r="L42" s="5">
        <f t="shared" ca="1" si="20"/>
        <v>50000</v>
      </c>
      <c r="M42" s="5">
        <f t="shared" ca="1" si="20"/>
        <v>100000</v>
      </c>
      <c r="N42" s="5">
        <f t="shared" ca="1" si="20"/>
        <v>50000</v>
      </c>
      <c r="O42" s="5">
        <f t="shared" ca="1" si="20"/>
        <v>95636.758551307837</v>
      </c>
      <c r="P42" s="5">
        <f t="shared" ca="1" si="20"/>
        <v>0</v>
      </c>
      <c r="Q42" s="5">
        <f t="shared" ca="1" si="20"/>
        <v>0</v>
      </c>
      <c r="R42" s="5">
        <f t="shared" ca="1" si="20"/>
        <v>0</v>
      </c>
      <c r="S42" s="5">
        <f t="shared" ca="1" si="20"/>
        <v>0</v>
      </c>
      <c r="T42" s="18">
        <f t="shared" ca="1" si="20"/>
        <v>0</v>
      </c>
      <c r="U42" s="16">
        <f t="shared" ca="1" si="21"/>
        <v>0</v>
      </c>
      <c r="V42" s="16">
        <f t="shared" ca="1" si="22"/>
        <v>0.14466053960686528</v>
      </c>
      <c r="W42" s="16">
        <f t="shared" ca="1" si="22"/>
        <v>0.14466053960686528</v>
      </c>
      <c r="X42" s="16">
        <f t="shared" ca="1" si="22"/>
        <v>0.28932107921373057</v>
      </c>
      <c r="Y42" s="16">
        <f t="shared" ca="1" si="22"/>
        <v>0.14466053960686528</v>
      </c>
      <c r="Z42" s="16">
        <f t="shared" ca="1" si="22"/>
        <v>0.2766973019656736</v>
      </c>
      <c r="AA42" s="16">
        <f t="shared" ca="1" si="22"/>
        <v>0</v>
      </c>
      <c r="AB42" s="16">
        <f t="shared" ca="1" si="22"/>
        <v>0</v>
      </c>
      <c r="AC42" s="16">
        <f t="shared" ca="1" si="22"/>
        <v>0</v>
      </c>
      <c r="AD42" s="16">
        <f t="shared" ca="1" si="22"/>
        <v>0</v>
      </c>
      <c r="AE42" s="16">
        <f t="shared" ca="1" si="22"/>
        <v>0</v>
      </c>
      <c r="AF42" s="23">
        <f ca="1">SUMIFS(INDIRECT("'"&amp;A$35&amp;" - NRPY'!$O:$O"), INDIRECT("'"&amp;A$35&amp;" - NRPY'!$A:$A"), "&gt;"&amp;INDEX(Console!$A$6:$E$14, MATCH($A14, Console!$A$6:$A$263, 0), MATCH(A$35, Console!$A$6:$E$6, 0)), INDIRECT("'"&amp;A$35&amp;" - NRPY'!$A:$A"), IFERROR("&lt;="&amp;IF(INDEX(Console!$A$6:$E$14, MATCH($A14, Console!$A$6:$A$263, 0)+1, MATCH(A$35, Console!$A$6:$E$6, 0))=0, NA(), INDEX(Console!$A$6:$E$14, MATCH($A14, Console!$A$6:$A$263, 0)+1, MATCH(A$35, Console!$A$6:$E$6, 0))),"&gt;0"))</f>
        <v>3708125</v>
      </c>
    </row>
    <row r="43" spans="1:32" x14ac:dyDescent="0.25">
      <c r="A43" s="20">
        <f>Console!A13</f>
        <v>6.9900000000000004E-2</v>
      </c>
      <c r="B43" s="8">
        <f>Console!D13</f>
        <v>500000</v>
      </c>
      <c r="C43" s="5">
        <f ca="1">SUMIFS(INDIRECT("'"&amp;A$35&amp;" - NRPY'!$G:$G"), INDIRECT("'"&amp;A$35&amp;" - NRPY'!$A:$A"), "&gt;"&amp;INDEX(Console!$A$6:$E$14, MATCH($A43, Console!$A$6:$A$263, 0), MATCH(A$35, Console!$A$6:$E$6, 0)), INDIRECT("'"&amp;A$35&amp;" - NRPY'!$A:$A"), IFERROR("&lt;="&amp;IF(INDEX(Console!$A$6:$E$14, MATCH($A43, Console!$A$6:$A$263, 0)+1, MATCH(A$35, Console!$A$6:$E$6, 0))=0, NA(), INDEX(Console!$A$6:$E$14, MATCH($A43, Console!$A$6:$A$263, 0)+1, MATCH(A$35, Console!$A$6:$E$6, 0))),"&gt;0"))</f>
        <v>6161053475</v>
      </c>
      <c r="D43" s="5">
        <f ca="1">SUMIFS(INDIRECT("'"&amp;A$35&amp;" - NRPY'!$C:$C"), INDIRECT("'"&amp;A$35&amp;" - NRPY'!$A:$A"), "&gt;"&amp;INDEX(Console!$A$6:$E$14, MATCH($A15, Console!$A$6:$A$263, 0), MATCH(A$35, Console!$A$6:$E$6, 0)), INDIRECT("'"&amp;A$35&amp;" - NRPY'!$A:$A"), IFERROR("&lt;="&amp;IF(INDEX(Console!$A$6:$E$14, MATCH($A15, Console!$A$6:$A$263, 0)+1, MATCH(A$35, Console!$A$6:$E$6, 0))=0, NA(), INDEX(Console!$A$6:$E$14, MATCH($A15, Console!$A$6:$A$263, 0)+1, MATCH(A$35, Console!$A$6:$E$6, 0))),"&gt;0"))</f>
        <v>645</v>
      </c>
      <c r="E43" s="5">
        <f t="shared" ca="1" si="16"/>
        <v>9552020.8914728686</v>
      </c>
      <c r="F43">
        <f ca="1">IF(E43&lt;Console!D$21, Console!D$20, MAX((Console!D$22-E43)/1000*Console!D$23, 0))</f>
        <v>0</v>
      </c>
      <c r="G43">
        <f ca="1">IF(E43&gt;Console!D$31, MIN((E43-Console!D$31)*Console!D$33/1000, Console!D$32), 0)+IF(E43&gt;Console!D$36, MIN((E43-Console!D$36)*Console!D$38/1000, Console!D$37), 0)</f>
        <v>3150</v>
      </c>
      <c r="H43" s="5">
        <f t="shared" ca="1" si="17"/>
        <v>2031750</v>
      </c>
      <c r="I43" s="18">
        <f ca="1">IF(E43&gt;Console!D$26, IF(E43&lt;Console!D$27, (E43-Console!D$26)*Console!D$28/1000, (Console!D$27-Console!D$26)*Console!D$28/1000), 0)</f>
        <v>10000</v>
      </c>
      <c r="J43" s="5">
        <f t="shared" ca="1" si="18"/>
        <v>0</v>
      </c>
      <c r="K43" s="5">
        <f t="shared" ca="1" si="19"/>
        <v>50000</v>
      </c>
      <c r="L43" s="5">
        <f t="shared" ca="1" si="20"/>
        <v>50000</v>
      </c>
      <c r="M43" s="5">
        <f t="shared" ca="1" si="20"/>
        <v>100000</v>
      </c>
      <c r="N43" s="5">
        <f t="shared" ca="1" si="20"/>
        <v>50000</v>
      </c>
      <c r="O43" s="5">
        <f t="shared" ca="1" si="20"/>
        <v>250000</v>
      </c>
      <c r="P43" s="5">
        <f t="shared" ca="1" si="20"/>
        <v>9052020.8914728686</v>
      </c>
      <c r="Q43" s="5">
        <f t="shared" ca="1" si="20"/>
        <v>0</v>
      </c>
      <c r="R43" s="5">
        <f t="shared" ca="1" si="20"/>
        <v>0</v>
      </c>
      <c r="S43" s="5">
        <f t="shared" ca="1" si="20"/>
        <v>0</v>
      </c>
      <c r="T43" s="18">
        <f t="shared" ca="1" si="20"/>
        <v>0</v>
      </c>
      <c r="U43" s="16">
        <f t="shared" ca="1" si="21"/>
        <v>0</v>
      </c>
      <c r="V43" s="16">
        <f t="shared" ca="1" si="22"/>
        <v>5.2344944141229028E-3</v>
      </c>
      <c r="W43" s="16">
        <f t="shared" ca="1" si="22"/>
        <v>5.2344944141229028E-3</v>
      </c>
      <c r="X43" s="16">
        <f t="shared" ca="1" si="22"/>
        <v>1.0468988828245806E-2</v>
      </c>
      <c r="Y43" s="16">
        <f t="shared" ca="1" si="22"/>
        <v>5.2344944141229028E-3</v>
      </c>
      <c r="Z43" s="16">
        <f t="shared" ca="1" si="22"/>
        <v>2.6172472070614513E-2</v>
      </c>
      <c r="AA43" s="16">
        <f t="shared" ca="1" si="22"/>
        <v>0.94765505585877097</v>
      </c>
      <c r="AB43" s="16">
        <f t="shared" ca="1" si="22"/>
        <v>0</v>
      </c>
      <c r="AC43" s="16">
        <f t="shared" ca="1" si="22"/>
        <v>0</v>
      </c>
      <c r="AD43" s="16">
        <f t="shared" ca="1" si="22"/>
        <v>0</v>
      </c>
      <c r="AE43" s="16">
        <f t="shared" ca="1" si="22"/>
        <v>0</v>
      </c>
      <c r="AF43" s="23">
        <f ca="1">SUMIFS(INDIRECT("'"&amp;A$35&amp;" - NRPY'!$O:$O"), INDIRECT("'"&amp;A$35&amp;" - NRPY'!$A:$A"), "&gt;"&amp;INDEX(Console!$A$6:$E$14, MATCH($A15, Console!$A$6:$A$263, 0), MATCH(A$35, Console!$A$6:$E$6, 0)), INDIRECT("'"&amp;A$35&amp;" - NRPY'!$A:$A"), IFERROR("&lt;="&amp;IF(INDEX(Console!$A$6:$E$14, MATCH($A15, Console!$A$6:$A$263, 0)+1, MATCH(A$35, Console!$A$6:$E$6, 0))=0, NA(), INDEX(Console!$A$6:$E$14, MATCH($A15, Console!$A$6:$A$263, 0)+1, MATCH(A$35, Console!$A$6:$E$6, 0))),"&gt;0"))</f>
        <v>9560653</v>
      </c>
    </row>
    <row r="44" spans="1:32" x14ac:dyDescent="0.25">
      <c r="A44" s="20">
        <f>Console!A14</f>
        <v>0</v>
      </c>
      <c r="B44" s="8">
        <f>Console!D14</f>
        <v>0</v>
      </c>
      <c r="C44" s="5">
        <f ca="1">SUMIFS(INDIRECT("'"&amp;A$35&amp;" - NRPY'!$G:$G"), INDIRECT("'"&amp;A$35&amp;" - NRPY'!$A:$A"), "&gt;"&amp;INDEX(Console!$A$6:$E$14, MATCH($A44, Console!$A$6:$A$263, 0), MATCH(A$35, Console!$A$6:$E$6, 0)), INDIRECT("'"&amp;A$35&amp;" - NRPY'!$A:$A"), IFERROR("&lt;="&amp;IF(INDEX(Console!$A$6:$E$14, MATCH($A44, Console!$A$6:$A$263, 0)+1, MATCH(A$35, Console!$A$6:$E$6, 0))=0, NA(), INDEX(Console!$A$6:$E$14, MATCH($A44, Console!$A$6:$A$263, 0)+1, MATCH(A$35, Console!$A$6:$E$6, 0))),"&gt;0"))</f>
        <v>0</v>
      </c>
      <c r="D44" s="5">
        <f ca="1">SUMIFS(INDIRECT("'"&amp;A$35&amp;" - NRPY'!$C:$C"), INDIRECT("'"&amp;A$35&amp;" - NRPY'!$A:$A"), "&gt;"&amp;INDEX(Console!$A$6:$E$14, MATCH($A16, Console!$A$6:$A$263, 0), MATCH(A$35, Console!$A$6:$E$6, 0)), INDIRECT("'"&amp;A$35&amp;" - NRPY'!$A:$A"), IFERROR("&lt;="&amp;IF(INDEX(Console!$A$6:$E$14, MATCH($A16, Console!$A$6:$A$263, 0)+1, MATCH(A$35, Console!$A$6:$E$6, 0))=0, NA(), INDEX(Console!$A$6:$E$14, MATCH($A16, Console!$A$6:$A$263, 0)+1, MATCH(A$35, Console!$A$6:$E$6, 0))),"&gt;0"))</f>
        <v>0</v>
      </c>
      <c r="E44" s="5">
        <f t="shared" ca="1" si="16"/>
        <v>0</v>
      </c>
      <c r="F44">
        <f ca="1">IF(E44&lt;Console!D$21, Console!D$20, MAX((Console!D$22-E44)/1000*Console!D$23, 0))</f>
        <v>12000</v>
      </c>
      <c r="G44">
        <f ca="1">IF(E44&gt;Console!D$31, MIN((E44-Console!D$31)*Console!D$33/1000, Console!D$32), 0)+IF(E44&gt;Console!D$36, MIN((E44-Console!D$36)*Console!D$38/1000, Console!D$37), 0)</f>
        <v>0</v>
      </c>
      <c r="H44" s="5">
        <f t="shared" ca="1" si="17"/>
        <v>0</v>
      </c>
      <c r="I44" s="18">
        <f ca="1">IF(E44&gt;Console!D$26, IF(E44&lt;Console!D$27, (E44-Console!D$26)*Console!D$28/1000, (Console!D$27-Console!D$26)*Console!D$28/1000), 0)</f>
        <v>0</v>
      </c>
      <c r="J44" s="5">
        <f t="shared" ca="1" si="18"/>
        <v>0</v>
      </c>
      <c r="K44" s="5">
        <f t="shared" ca="1" si="19"/>
        <v>0</v>
      </c>
      <c r="L44" s="5">
        <f t="shared" ca="1" si="20"/>
        <v>0</v>
      </c>
      <c r="M44" s="5">
        <f t="shared" ca="1" si="20"/>
        <v>0</v>
      </c>
      <c r="N44" s="5">
        <f t="shared" ca="1" si="20"/>
        <v>0</v>
      </c>
      <c r="O44" s="5">
        <f t="shared" ca="1" si="20"/>
        <v>0</v>
      </c>
      <c r="P44" s="5">
        <f t="shared" ca="1" si="20"/>
        <v>0</v>
      </c>
      <c r="Q44" s="5">
        <f t="shared" ca="1" si="20"/>
        <v>0</v>
      </c>
      <c r="R44" s="5">
        <f t="shared" ca="1" si="20"/>
        <v>0</v>
      </c>
      <c r="S44" s="5">
        <f t="shared" ca="1" si="20"/>
        <v>0</v>
      </c>
      <c r="T44" s="18">
        <f t="shared" ca="1" si="20"/>
        <v>0</v>
      </c>
      <c r="U44" s="16">
        <f t="shared" ca="1" si="21"/>
        <v>1</v>
      </c>
      <c r="V44" s="16">
        <f t="shared" ca="1" si="22"/>
        <v>0</v>
      </c>
      <c r="W44" s="16">
        <f t="shared" ca="1" si="22"/>
        <v>0</v>
      </c>
      <c r="X44" s="16">
        <f t="shared" ca="1" si="22"/>
        <v>0</v>
      </c>
      <c r="Y44" s="16">
        <f t="shared" ca="1" si="22"/>
        <v>0</v>
      </c>
      <c r="Z44" s="16">
        <f t="shared" ca="1" si="22"/>
        <v>0</v>
      </c>
      <c r="AA44" s="16">
        <f t="shared" ca="1" si="22"/>
        <v>0</v>
      </c>
      <c r="AB44" s="16">
        <f t="shared" ca="1" si="22"/>
        <v>0</v>
      </c>
      <c r="AC44" s="16">
        <f t="shared" ca="1" si="22"/>
        <v>0</v>
      </c>
      <c r="AD44" s="16">
        <f t="shared" ca="1" si="22"/>
        <v>0</v>
      </c>
      <c r="AE44" s="16">
        <f t="shared" ca="1" si="22"/>
        <v>0</v>
      </c>
      <c r="AF44" s="23">
        <f ca="1">SUMIFS(INDIRECT("'"&amp;A$35&amp;" - NRPY'!$O:$O"), INDIRECT("'"&amp;A$35&amp;" - NRPY'!$A:$A"), "&gt;"&amp;INDEX(Console!$A$6:$E$14, MATCH($A16, Console!$A$6:$A$263, 0), MATCH(A$35, Console!$A$6:$E$6, 0)), INDIRECT("'"&amp;A$35&amp;" - NRPY'!$A:$A"), IFERROR("&lt;="&amp;IF(INDEX(Console!$A$6:$E$14, MATCH($A16, Console!$A$6:$A$263, 0)+1, MATCH(A$35, Console!$A$6:$E$6, 0))=0, NA(), INDEX(Console!$A$6:$E$14, MATCH($A16, Console!$A$6:$A$263, 0)+1, MATCH(A$35, Console!$A$6:$E$6, 0))),"&gt;0"))</f>
        <v>0</v>
      </c>
    </row>
    <row r="45" spans="1:32" x14ac:dyDescent="0.25">
      <c r="A45" s="20">
        <f>Console!A15</f>
        <v>0</v>
      </c>
      <c r="B45" s="8">
        <f>Console!D15</f>
        <v>0</v>
      </c>
      <c r="C45" s="5">
        <f ca="1">SUMIFS(INDIRECT("'"&amp;A$35&amp;" - NRPY'!$G:$G"), INDIRECT("'"&amp;A$35&amp;" - NRPY'!$A:$A"), "&gt;"&amp;INDEX(Console!$A$6:$E$14, MATCH($A45, Console!$A$6:$A$263, 0), MATCH(A$35, Console!$A$6:$E$6, 0)), INDIRECT("'"&amp;A$35&amp;" - NRPY'!$A:$A"), IFERROR("&lt;="&amp;IF(INDEX(Console!$A$6:$E$14, MATCH($A45, Console!$A$6:$A$263, 0)+1, MATCH(A$35, Console!$A$6:$E$6, 0))=0, NA(), INDEX(Console!$A$6:$E$14, MATCH($A45, Console!$A$6:$A$263, 0)+1, MATCH(A$35, Console!$A$6:$E$6, 0))),"&gt;0"))</f>
        <v>0</v>
      </c>
      <c r="D45" s="5">
        <f ca="1">SUMIFS(INDIRECT("'"&amp;A$35&amp;" - NRPY'!$C:$C"), INDIRECT("'"&amp;A$35&amp;" - NRPY'!$A:$A"), "&gt;"&amp;INDEX(Console!$A$6:$E$14, MATCH($A17, Console!$A$6:$A$263, 0), MATCH(A$35, Console!$A$6:$E$6, 0)), INDIRECT("'"&amp;A$35&amp;" - NRPY'!$A:$A"), IFERROR("&lt;="&amp;IF(INDEX(Console!$A$6:$E$14, MATCH($A17, Console!$A$6:$A$263, 0)+1, MATCH(A$35, Console!$A$6:$E$6, 0))=0, NA(), INDEX(Console!$A$6:$E$14, MATCH($A17, Console!$A$6:$A$263, 0)+1, MATCH(A$35, Console!$A$6:$E$6, 0))),"&gt;0"))</f>
        <v>0</v>
      </c>
      <c r="E45" s="5">
        <f t="shared" ca="1" si="16"/>
        <v>0</v>
      </c>
      <c r="F45">
        <f ca="1">IF(E45&lt;Console!D$21, Console!D$20, MAX((Console!D$22-E45)/1000*Console!D$23, 0))</f>
        <v>12000</v>
      </c>
      <c r="G45">
        <f ca="1">IF(E45&gt;Console!D$31, MIN((E45-Console!D$31)*Console!D$33/1000, Console!D$32), 0)+IF(E45&gt;Console!D$36, MIN((E45-Console!D$36)*Console!D$38/1000, Console!D$37), 0)</f>
        <v>0</v>
      </c>
      <c r="H45" s="5">
        <f t="shared" ca="1" si="17"/>
        <v>0</v>
      </c>
      <c r="I45" s="18">
        <f ca="1">IF(E45&gt;Console!D$26, IF(E45&lt;Console!D$27, (E45-Console!D$26)*Console!D$28/1000, (Console!D$27-Console!D$26)*Console!D$28/1000), 0)</f>
        <v>0</v>
      </c>
      <c r="J45" s="5">
        <f t="shared" ca="1" si="18"/>
        <v>0</v>
      </c>
      <c r="K45" s="5">
        <f t="shared" ca="1" si="19"/>
        <v>0</v>
      </c>
      <c r="L45" s="5">
        <f t="shared" ca="1" si="20"/>
        <v>0</v>
      </c>
      <c r="M45" s="5">
        <f t="shared" ca="1" si="20"/>
        <v>0</v>
      </c>
      <c r="N45" s="5">
        <f t="shared" ca="1" si="20"/>
        <v>0</v>
      </c>
      <c r="O45" s="5">
        <f t="shared" ca="1" si="20"/>
        <v>0</v>
      </c>
      <c r="P45" s="5">
        <f t="shared" ca="1" si="20"/>
        <v>0</v>
      </c>
      <c r="Q45" s="5">
        <f t="shared" ca="1" si="20"/>
        <v>0</v>
      </c>
      <c r="R45" s="5">
        <f t="shared" ca="1" si="20"/>
        <v>0</v>
      </c>
      <c r="S45" s="5">
        <f t="shared" ca="1" si="20"/>
        <v>0</v>
      </c>
      <c r="T45" s="18">
        <f t="shared" ca="1" si="20"/>
        <v>0</v>
      </c>
      <c r="U45" s="16">
        <f t="shared" ca="1" si="21"/>
        <v>1</v>
      </c>
      <c r="V45" s="16">
        <f t="shared" ca="1" si="22"/>
        <v>0</v>
      </c>
      <c r="W45" s="16">
        <f t="shared" ca="1" si="22"/>
        <v>0</v>
      </c>
      <c r="X45" s="16">
        <f t="shared" ca="1" si="22"/>
        <v>0</v>
      </c>
      <c r="Y45" s="16">
        <f t="shared" ca="1" si="22"/>
        <v>0</v>
      </c>
      <c r="Z45" s="16">
        <f t="shared" ca="1" si="22"/>
        <v>0</v>
      </c>
      <c r="AA45" s="16">
        <f t="shared" ca="1" si="22"/>
        <v>0</v>
      </c>
      <c r="AB45" s="16">
        <f t="shared" ca="1" si="22"/>
        <v>0</v>
      </c>
      <c r="AC45" s="16">
        <f t="shared" ca="1" si="22"/>
        <v>0</v>
      </c>
      <c r="AD45" s="16">
        <f t="shared" ca="1" si="22"/>
        <v>0</v>
      </c>
      <c r="AE45" s="16">
        <f t="shared" ca="1" si="22"/>
        <v>0</v>
      </c>
      <c r="AF45" s="23">
        <f ca="1">SUMIFS(INDIRECT("'"&amp;A$35&amp;" - NRPY'!$O:$O"), INDIRECT("'"&amp;A$35&amp;" - NRPY'!$A:$A"), "&gt;"&amp;INDEX(Console!$A$6:$E$14, MATCH($A17, Console!$A$6:$A$263, 0), MATCH(A$35, Console!$A$6:$E$6, 0)), INDIRECT("'"&amp;A$35&amp;" - NRPY'!$A:$A"), IFERROR("&lt;="&amp;IF(INDEX(Console!$A$6:$E$14, MATCH($A17, Console!$A$6:$A$263, 0)+1, MATCH(A$35, Console!$A$6:$E$6, 0))=0, NA(), INDEX(Console!$A$6:$E$14, MATCH($A17, Console!$A$6:$A$263, 0)+1, MATCH(A$35, Console!$A$6:$E$6, 0))),"&gt;0"))</f>
        <v>0</v>
      </c>
    </row>
    <row r="46" spans="1:32" x14ac:dyDescent="0.25">
      <c r="A46" s="20">
        <f>Console!A16</f>
        <v>0</v>
      </c>
      <c r="B46" s="8">
        <f>Console!D16</f>
        <v>0</v>
      </c>
      <c r="C46" s="5">
        <f ca="1">SUMIFS(INDIRECT("'"&amp;A$35&amp;" - NRPY'!$G:$G"), INDIRECT("'"&amp;A$35&amp;" - NRPY'!$A:$A"), "&gt;"&amp;INDEX(Console!$A$6:$E$14, MATCH($A46, Console!$A$6:$A$263, 0), MATCH(A$35, Console!$A$6:$E$6, 0)), INDIRECT("'"&amp;A$35&amp;" - NRPY'!$A:$A"), IFERROR("&lt;="&amp;IF(INDEX(Console!$A$6:$E$14, MATCH($A46, Console!$A$6:$A$263, 0)+1, MATCH(A$35, Console!$A$6:$E$6, 0))=0, NA(), INDEX(Console!$A$6:$E$14, MATCH($A46, Console!$A$6:$A$263, 0)+1, MATCH(A$35, Console!$A$6:$E$6, 0))),"&gt;0"))</f>
        <v>0</v>
      </c>
      <c r="D46" s="5">
        <f ca="1">SUMIFS(INDIRECT("'"&amp;A$35&amp;" - NRPY'!$C:$C"), INDIRECT("'"&amp;A$35&amp;" - NRPY'!$A:$A"), "&gt;"&amp;INDEX(Console!$A$6:$E$14, MATCH($A18, Console!$A$6:$A$263, 0), MATCH(A$35, Console!$A$6:$E$6, 0)), INDIRECT("'"&amp;A$35&amp;" - NRPY'!$A:$A"), IFERROR("&lt;="&amp;IF(INDEX(Console!$A$6:$E$14, MATCH($A18, Console!$A$6:$A$263, 0)+1, MATCH(A$35, Console!$A$6:$E$6, 0))=0, NA(), INDEX(Console!$A$6:$E$14, MATCH($A18, Console!$A$6:$A$263, 0)+1, MATCH(A$35, Console!$A$6:$E$6, 0))),"&gt;0"))</f>
        <v>0</v>
      </c>
      <c r="E46" s="5">
        <f t="shared" ca="1" si="16"/>
        <v>0</v>
      </c>
      <c r="F46">
        <f ca="1">IF(E46&lt;Console!D$21, Console!D$20, MAX((Console!D$22-E46)/1000*Console!D$23, 0))</f>
        <v>12000</v>
      </c>
      <c r="G46">
        <f ca="1">IF(E46&gt;Console!D$31, MIN((E46-Console!D$31)*Console!D$33/1000, Console!D$32), 0)+IF(E46&gt;Console!D$36, MIN((E46-Console!D$36)*Console!D$38/1000, Console!D$37), 0)</f>
        <v>0</v>
      </c>
      <c r="H46" s="5">
        <f t="shared" ca="1" si="17"/>
        <v>0</v>
      </c>
      <c r="I46" s="18">
        <f ca="1">IF(E46&gt;Console!D$26, IF(E46&lt;Console!D$27, (E46-Console!D$26)*Console!D$28/1000, (Console!D$27-Console!D$26)*Console!D$28/1000), 0)</f>
        <v>0</v>
      </c>
      <c r="J46" s="5">
        <f t="shared" ca="1" si="18"/>
        <v>0</v>
      </c>
      <c r="K46" s="5">
        <f t="shared" ca="1" si="19"/>
        <v>0</v>
      </c>
      <c r="L46" s="5">
        <f t="shared" ca="1" si="20"/>
        <v>0</v>
      </c>
      <c r="M46" s="5">
        <f t="shared" ca="1" si="20"/>
        <v>0</v>
      </c>
      <c r="N46" s="5">
        <f t="shared" ca="1" si="20"/>
        <v>0</v>
      </c>
      <c r="O46" s="5">
        <f t="shared" ca="1" si="20"/>
        <v>0</v>
      </c>
      <c r="P46" s="5">
        <f t="shared" ca="1" si="20"/>
        <v>0</v>
      </c>
      <c r="Q46" s="5">
        <f t="shared" ca="1" si="20"/>
        <v>0</v>
      </c>
      <c r="R46" s="5">
        <f t="shared" ca="1" si="20"/>
        <v>0</v>
      </c>
      <c r="S46" s="5">
        <f t="shared" ca="1" si="20"/>
        <v>0</v>
      </c>
      <c r="T46" s="18">
        <f t="shared" ca="1" si="20"/>
        <v>0</v>
      </c>
      <c r="U46" s="16">
        <f t="shared" ca="1" si="21"/>
        <v>1</v>
      </c>
      <c r="V46" s="16">
        <f t="shared" ca="1" si="22"/>
        <v>0</v>
      </c>
      <c r="W46" s="16">
        <f t="shared" ca="1" si="22"/>
        <v>0</v>
      </c>
      <c r="X46" s="16">
        <f t="shared" ca="1" si="22"/>
        <v>0</v>
      </c>
      <c r="Y46" s="16">
        <f t="shared" ca="1" si="22"/>
        <v>0</v>
      </c>
      <c r="Z46" s="16">
        <f t="shared" ca="1" si="22"/>
        <v>0</v>
      </c>
      <c r="AA46" s="16">
        <f t="shared" ca="1" si="22"/>
        <v>0</v>
      </c>
      <c r="AB46" s="16">
        <f t="shared" ca="1" si="22"/>
        <v>0</v>
      </c>
      <c r="AC46" s="16">
        <f t="shared" ca="1" si="22"/>
        <v>0</v>
      </c>
      <c r="AD46" s="16">
        <f t="shared" ca="1" si="22"/>
        <v>0</v>
      </c>
      <c r="AE46" s="16">
        <f t="shared" ca="1" si="22"/>
        <v>0</v>
      </c>
      <c r="AF46" s="23">
        <f ca="1">SUMIFS(INDIRECT("'"&amp;A$35&amp;" - NRPY'!$O:$O"), INDIRECT("'"&amp;A$35&amp;" - NRPY'!$A:$A"), "&gt;"&amp;INDEX(Console!$A$6:$E$14, MATCH($A18, Console!$A$6:$A$263, 0), MATCH(A$35, Console!$A$6:$E$6, 0)), INDIRECT("'"&amp;A$35&amp;" - NRPY'!$A:$A"), IFERROR("&lt;="&amp;IF(INDEX(Console!$A$6:$E$14, MATCH($A18, Console!$A$6:$A$263, 0)+1, MATCH(A$35, Console!$A$6:$E$6, 0))=0, NA(), INDEX(Console!$A$6:$E$14, MATCH($A18, Console!$A$6:$A$263, 0)+1, MATCH(A$35, Console!$A$6:$E$6, 0))),"&gt;0"))</f>
        <v>0</v>
      </c>
    </row>
    <row r="47" spans="1:32" x14ac:dyDescent="0.25">
      <c r="A47" s="20">
        <f>Console!A17</f>
        <v>0</v>
      </c>
      <c r="B47" s="8">
        <f>Console!D17</f>
        <v>0</v>
      </c>
      <c r="C47" s="5">
        <f ca="1">SUMIFS(INDIRECT("'"&amp;A$35&amp;" - NRPY'!$G:$G"), INDIRECT("'"&amp;A$35&amp;" - NRPY'!$A:$A"), "&gt;"&amp;INDEX(Console!$A$6:$E$14, MATCH($A47, Console!$A$6:$A$263, 0), MATCH(A$35, Console!$A$6:$E$6, 0)), INDIRECT("'"&amp;A$35&amp;" - NRPY'!$A:$A"), IFERROR("&lt;="&amp;IF(INDEX(Console!$A$6:$E$14, MATCH($A47, Console!$A$6:$A$263, 0)+1, MATCH(A$35, Console!$A$6:$E$6, 0))=0, NA(), INDEX(Console!$A$6:$E$14, MATCH($A47, Console!$A$6:$A$263, 0)+1, MATCH(A$35, Console!$A$6:$E$6, 0))),"&gt;0"))</f>
        <v>0</v>
      </c>
      <c r="D47" s="5">
        <f ca="1">SUMIFS(INDIRECT("'"&amp;A$35&amp;" - NRPY'!$C:$C"), INDIRECT("'"&amp;A$35&amp;" - NRPY'!$A:$A"), "&gt;"&amp;INDEX(Console!$A$6:$E$14, MATCH($A19, Console!$A$6:$A$263, 0), MATCH(A$35, Console!$A$6:$E$6, 0)), INDIRECT("'"&amp;A$35&amp;" - NRPY'!$A:$A"), IFERROR("&lt;="&amp;IF(INDEX(Console!$A$6:$E$14, MATCH($A19, Console!$A$6:$A$263, 0)+1, MATCH(A$35, Console!$A$6:$E$6, 0))=0, NA(), INDEX(Console!$A$6:$E$14, MATCH($A19, Console!$A$6:$A$263, 0)+1, MATCH(A$35, Console!$A$6:$E$6, 0))),"&gt;0"))</f>
        <v>0</v>
      </c>
      <c r="E47" s="5">
        <f t="shared" ca="1" si="16"/>
        <v>0</v>
      </c>
      <c r="F47">
        <f ca="1">IF(E47&lt;Console!D$21, Console!D$20, MAX((Console!D$22-E47)/1000*Console!D$23, 0))</f>
        <v>12000</v>
      </c>
      <c r="G47">
        <f ca="1">IF(E47&gt;Console!D$31, MIN((E47-Console!D$31)*Console!D$33/1000, Console!D$32), 0)+IF(E47&gt;Console!D$36, MIN((E47-Console!D$36)*Console!D$38/1000, Console!D$37), 0)</f>
        <v>0</v>
      </c>
      <c r="H47" s="5">
        <f t="shared" ca="1" si="17"/>
        <v>0</v>
      </c>
      <c r="I47" s="18">
        <f ca="1">IF(E47&gt;Console!D$26, IF(E47&lt;Console!D$27, (E47-Console!D$26)*Console!D$28/1000, (Console!D$27-Console!D$26)*Console!D$28/1000), 0)</f>
        <v>0</v>
      </c>
      <c r="J47" s="5">
        <f t="shared" ca="1" si="18"/>
        <v>0</v>
      </c>
      <c r="K47" s="5">
        <f t="shared" ca="1" si="19"/>
        <v>0</v>
      </c>
      <c r="L47" s="5">
        <f t="shared" ca="1" si="20"/>
        <v>0</v>
      </c>
      <c r="M47" s="5">
        <f t="shared" ca="1" si="20"/>
        <v>0</v>
      </c>
      <c r="N47" s="5">
        <f t="shared" ca="1" si="20"/>
        <v>0</v>
      </c>
      <c r="O47" s="5">
        <f t="shared" ca="1" si="20"/>
        <v>0</v>
      </c>
      <c r="P47" s="5">
        <f t="shared" ca="1" si="20"/>
        <v>0</v>
      </c>
      <c r="Q47" s="5">
        <f t="shared" ca="1" si="20"/>
        <v>0</v>
      </c>
      <c r="R47" s="5">
        <f t="shared" ca="1" si="20"/>
        <v>0</v>
      </c>
      <c r="S47" s="5">
        <f t="shared" ca="1" si="20"/>
        <v>0</v>
      </c>
      <c r="T47" s="18">
        <f t="shared" ca="1" si="20"/>
        <v>0</v>
      </c>
      <c r="U47" s="16">
        <f t="shared" ca="1" si="21"/>
        <v>1</v>
      </c>
      <c r="V47" s="16">
        <f t="shared" ca="1" si="22"/>
        <v>0</v>
      </c>
      <c r="W47" s="16">
        <f t="shared" ca="1" si="22"/>
        <v>0</v>
      </c>
      <c r="X47" s="16">
        <f t="shared" ca="1" si="22"/>
        <v>0</v>
      </c>
      <c r="Y47" s="16">
        <f t="shared" ca="1" si="22"/>
        <v>0</v>
      </c>
      <c r="Z47" s="16">
        <f t="shared" ca="1" si="22"/>
        <v>0</v>
      </c>
      <c r="AA47" s="16">
        <f t="shared" ca="1" si="22"/>
        <v>0</v>
      </c>
      <c r="AB47" s="16">
        <f t="shared" ca="1" si="22"/>
        <v>0</v>
      </c>
      <c r="AC47" s="16">
        <f t="shared" ca="1" si="22"/>
        <v>0</v>
      </c>
      <c r="AD47" s="16">
        <f t="shared" ca="1" si="22"/>
        <v>0</v>
      </c>
      <c r="AE47" s="16">
        <f t="shared" ca="1" si="22"/>
        <v>0</v>
      </c>
      <c r="AF47" s="23">
        <f ca="1">SUMIFS(INDIRECT("'"&amp;A$35&amp;" - NRPY'!$O:$O"), INDIRECT("'"&amp;A$35&amp;" - NRPY'!$A:$A"), "&gt;"&amp;INDEX(Console!$A$6:$E$14, MATCH($A19, Console!$A$6:$A$263, 0), MATCH(A$35, Console!$A$6:$E$6, 0)), INDIRECT("'"&amp;A$35&amp;" - NRPY'!$A:$A"), IFERROR("&lt;="&amp;IF(INDEX(Console!$A$6:$E$14, MATCH($A19, Console!$A$6:$A$263, 0)+1, MATCH(A$35, Console!$A$6:$E$6, 0))=0, NA(), INDEX(Console!$A$6:$E$14, MATCH($A19, Console!$A$6:$A$263, 0)+1, MATCH(A$35, Console!$A$6:$E$6, 0))),"&gt;0"))</f>
        <v>0</v>
      </c>
    </row>
    <row r="48" spans="1:32" x14ac:dyDescent="0.25">
      <c r="A48" s="71" t="s">
        <v>455</v>
      </c>
    </row>
    <row r="49" spans="1:32" ht="18" thickBot="1" x14ac:dyDescent="0.35">
      <c r="A49" s="72" t="s">
        <v>70</v>
      </c>
    </row>
    <row r="50" spans="1:32" ht="30.75" thickTop="1" x14ac:dyDescent="0.25">
      <c r="A50" s="27" t="s">
        <v>69</v>
      </c>
      <c r="B50" s="27" t="s">
        <v>85</v>
      </c>
      <c r="C50" s="27" t="s">
        <v>74</v>
      </c>
      <c r="D50" s="27" t="s">
        <v>75</v>
      </c>
      <c r="E50" s="27" t="s">
        <v>76</v>
      </c>
      <c r="F50" s="27" t="s">
        <v>77</v>
      </c>
      <c r="G50" s="27" t="s">
        <v>131</v>
      </c>
      <c r="H50" s="27" t="s">
        <v>132</v>
      </c>
      <c r="I50" s="27" t="s">
        <v>87</v>
      </c>
      <c r="J50" s="28">
        <v>0.03</v>
      </c>
      <c r="K50" s="28">
        <v>0.05</v>
      </c>
      <c r="L50" s="28">
        <v>5.5E-2</v>
      </c>
      <c r="M50" s="28">
        <v>0.06</v>
      </c>
      <c r="N50" s="28">
        <v>6.5000000000000002E-2</v>
      </c>
      <c r="O50" s="28">
        <v>6.9000000000000006E-2</v>
      </c>
      <c r="P50" s="28">
        <v>6.9900000000000004E-2</v>
      </c>
      <c r="Q50" s="28">
        <v>0</v>
      </c>
      <c r="R50" s="28">
        <v>0</v>
      </c>
      <c r="S50" s="28">
        <v>0</v>
      </c>
      <c r="T50" s="28">
        <v>0</v>
      </c>
      <c r="U50" s="28">
        <v>0.03</v>
      </c>
      <c r="V50" s="28">
        <v>0.05</v>
      </c>
      <c r="W50" s="28">
        <v>5.5E-2</v>
      </c>
      <c r="X50" s="28">
        <v>0.06</v>
      </c>
      <c r="Y50" s="28">
        <v>6.5000000000000002E-2</v>
      </c>
      <c r="Z50" s="28">
        <v>6.9000000000000006E-2</v>
      </c>
      <c r="AA50" s="28">
        <v>6.9900000000000004E-2</v>
      </c>
      <c r="AB50" s="28">
        <v>0</v>
      </c>
      <c r="AC50" s="28">
        <v>0</v>
      </c>
      <c r="AD50" s="28">
        <v>0</v>
      </c>
      <c r="AE50" s="28">
        <v>0</v>
      </c>
      <c r="AF50" s="28" t="s">
        <v>362</v>
      </c>
    </row>
    <row r="51" spans="1:32" x14ac:dyDescent="0.25">
      <c r="A51" s="20">
        <f>Console!A7</f>
        <v>0.03</v>
      </c>
      <c r="B51" s="8">
        <f>Console!E7</f>
        <v>0</v>
      </c>
      <c r="C51" s="5">
        <f ca="1">SUMIFS(INDIRECT("'"&amp;A$49&amp;" - NRPY'!$G:$G"), INDIRECT("'"&amp;A$49&amp;" - NRPY'!$A:$A"), "&gt;"&amp;INDEX(Console!$A$6:$E$14, MATCH($A51, Console!$A$6:$A$263, 0), MATCH(A$49, Console!$A$6:$E$6, 0)), INDIRECT("'"&amp;A$49&amp;" - NRPY'!$A:$A"), IFERROR("&lt;="&amp;IF(INDEX(Console!$A$6:$E$14, MATCH($A51, Console!$A$6:$A$263, 0)+1, MATCH(A$49, Console!$A$6:$E$6, 0))=0, NA(), INDEX(Console!$A$6:$E$14, MATCH($A51, Console!$A$6:$A$263, 0)+1, MATCH(A$49, Console!$A$6:$E$6, 0))),"&gt;0"))</f>
        <v>13199059</v>
      </c>
      <c r="D51" s="5">
        <f ca="1">SUMIFS(INDIRECT("'"&amp;A$49&amp;" - NRPY'!$C:$C"), INDIRECT("'"&amp;A$49&amp;" - NRPY'!$A:$A"), "&gt;"&amp;INDEX(Console!$A$6:$E$14, MATCH($A23, Console!$A$6:$A$263, 0), MATCH(A$49, Console!$A$6:$E$6, 0)), INDIRECT("'"&amp;A$49&amp;" - NRPY'!$A:$A"), IFERROR("&lt;="&amp;IF(INDEX(Console!$A$6:$E$14, MATCH($A23, Console!$A$6:$A$263, 0)+1, MATCH(A$49, Console!$A$6:$E$6, 0))=0, NA(), INDEX(Console!$A$6:$E$14, MATCH($A23, Console!$A$6:$A$263, 0)+1, MATCH(A$49, Console!$A$6:$E$6, 0))),"&gt;0"))</f>
        <v>1433</v>
      </c>
      <c r="E51" s="5">
        <f t="shared" ref="E51:E61" ca="1" si="23">IFERROR(C51/D51, 0)</f>
        <v>9210.7878576413113</v>
      </c>
      <c r="F51">
        <f ca="1">IF(E51&lt;Console!E$21, Console!E$20, MAX((Console!E$22-E51)/1000*Console!E$23, 0))</f>
        <v>19000</v>
      </c>
      <c r="G51">
        <f ca="1">IF(E51&gt;Console!E$31, MIN((E51-Console!E$31)*Console!E$33/1000, Console!E$32), 0)+IF(E51&gt;Console!E$36, MIN((E51-Console!E$36)*Console!E$38/1000, Console!E$37), 0)</f>
        <v>0</v>
      </c>
      <c r="H51" s="5">
        <f t="shared" ref="H51:H61" ca="1" si="24">G51*D51</f>
        <v>0</v>
      </c>
      <c r="I51" s="18">
        <f ca="1">IF(E51&gt;Console!E$26, IF(E51&lt;Console!E$27, (E51-Console!E$26)*Console!E$28/1000, (Console!E$27-Console!E$26)*Console!E$28/1000), 0)</f>
        <v>0</v>
      </c>
      <c r="J51" s="5">
        <f t="shared" ref="J51:J61" ca="1" si="25">MAX(IF(AND(($E51-$F51)&gt;INDEX($B$51:$B$61, MATCH(J$8,$A$51:$A$61, 0)+1, 0), INDEX($B$51:$B$61, MATCH(J$8,$A$51:$A$61, 0)+1, 0) - INDEX($B$51:$B$61, MATCH(J$8,$A$51:$A$61, 0), 0) &gt;= 0), INDEX($B$51:$B$61, MATCH(J$8,$A$51:$A$61, 0) +1, 0)-INDEX($B$51:$B$61, MATCH(J$8,$A$51:$A$61, 0), 0)-$I51, MAX($E51-$F51, 0) - INDEX($B$51:$B$61, MATCH(J$8,$A$51:$A$61, 0), 0)), 0)</f>
        <v>0</v>
      </c>
      <c r="K51" s="5">
        <f t="shared" ref="K51:K61" ca="1" si="26">MAX(IF(AND(($E51-$F51)&gt;INDEX($B$51:$B$61, MATCH(K$8,$A$51:$A$61, 0)+1, 0), INDEX($B$51:$B$61, MATCH(K$8,$A$51:$A$61, 0)+1, 0) - INDEX($B$51:$B$61, MATCH(K$8,$A$51:$A$61, 0), 0) &gt;= 0), INDEX($B$51:$B$61, MATCH(K$8,$A$51:$A$61, 0) +1, 0)-INDEX($B$51:$B$61, MATCH(K$8,$A$51:$A$61, 0), 0)+$I51, MAX($E51-$F51, 0) - INDEX($B$51:$B$61, MATCH(K$8,$A$51:$A$61, 0), 0)), 0)</f>
        <v>0</v>
      </c>
      <c r="L51" s="5">
        <f t="shared" ref="L51:T61" ca="1" si="27">MAX(IF(AND(($E51-$F51)&gt;INDEX($B$51:$B$61, MATCH(L$8,$A$51:$A$61, 0)+1, 0), INDEX($B$51:$B$61, MATCH(L$8,$A$51:$A$61, 0)+1, 0) - INDEX($B$51:$B$61, MATCH(L$8,$A$51:$A$61, 0), 0) &gt;= 0), INDEX($B$51:$B$61, MATCH(L$8,$A$51:$A$61, 0) +1, 0)-INDEX($B$51:$B$61, MATCH(L$8,$A$51:$A$61, 0), 0), MAX($E51-$F51, 0) - INDEX($B$51:$B$61, MATCH(L$8,$A$51:$A$61, 0), 0)), 0)</f>
        <v>0</v>
      </c>
      <c r="M51" s="5">
        <f t="shared" ca="1" si="27"/>
        <v>0</v>
      </c>
      <c r="N51" s="5">
        <f t="shared" ca="1" si="27"/>
        <v>0</v>
      </c>
      <c r="O51" s="5">
        <f t="shared" ca="1" si="27"/>
        <v>0</v>
      </c>
      <c r="P51" s="5">
        <f t="shared" ca="1" si="27"/>
        <v>0</v>
      </c>
      <c r="Q51" s="5">
        <f t="shared" ca="1" si="27"/>
        <v>0</v>
      </c>
      <c r="R51" s="5">
        <f t="shared" ca="1" si="27"/>
        <v>0</v>
      </c>
      <c r="S51" s="5">
        <f t="shared" ca="1" si="27"/>
        <v>0</v>
      </c>
      <c r="T51" s="17">
        <f t="shared" ca="1" si="27"/>
        <v>0</v>
      </c>
      <c r="U51" s="16">
        <f t="shared" ref="U51:U61" ca="1" si="28">IFERROR(1 - SUM(V51:AE51), 0)</f>
        <v>1</v>
      </c>
      <c r="V51" s="16">
        <f t="shared" ref="V51:AE61" ca="1" si="29">IFERROR(K51/SUM($J51:$T51), 0)</f>
        <v>0</v>
      </c>
      <c r="W51" s="16">
        <f t="shared" ca="1" si="29"/>
        <v>0</v>
      </c>
      <c r="X51" s="16">
        <f t="shared" ca="1" si="29"/>
        <v>0</v>
      </c>
      <c r="Y51" s="16">
        <f t="shared" ca="1" si="29"/>
        <v>0</v>
      </c>
      <c r="Z51" s="16">
        <f t="shared" ca="1" si="29"/>
        <v>0</v>
      </c>
      <c r="AA51" s="16">
        <f t="shared" ca="1" si="29"/>
        <v>0</v>
      </c>
      <c r="AB51" s="16">
        <f t="shared" ca="1" si="29"/>
        <v>0</v>
      </c>
      <c r="AC51" s="16">
        <f t="shared" ca="1" si="29"/>
        <v>0</v>
      </c>
      <c r="AD51" s="16">
        <f t="shared" ca="1" si="29"/>
        <v>0</v>
      </c>
      <c r="AE51" s="16">
        <f t="shared" ca="1" si="29"/>
        <v>0</v>
      </c>
      <c r="AF51" s="23">
        <f ca="1">SUMIFS(INDIRECT("'"&amp;A$49&amp;" - NRPY'!$O:$O"), INDIRECT("'"&amp;A$49&amp;" - NRPY'!$A:$A"), "&gt;"&amp;INDEX(Console!$A$6:$E$14, MATCH($A23, Console!$A$6:$A$263, 0), MATCH(A$49, Console!$A$6:$E$6, 0)), INDIRECT("'"&amp;A$49&amp;" - NRPY'!$A:$A"), IFERROR("&lt;="&amp;IF(INDEX(Console!$A$6:$E$14, MATCH($A23, Console!$A$6:$A$263, 0)+1, MATCH(A$49, Console!$A$6:$E$6, 0))=0, NA(), INDEX(Console!$A$6:$E$14, MATCH($A23, Console!$A$6:$A$263, 0)+1, MATCH(A$49, Console!$A$6:$E$6, 0))),"&gt;0"))</f>
        <v>17540</v>
      </c>
    </row>
    <row r="52" spans="1:32" x14ac:dyDescent="0.25">
      <c r="A52" s="20">
        <f>Console!A8</f>
        <v>0.05</v>
      </c>
      <c r="B52" s="8">
        <f>Console!E8</f>
        <v>16000</v>
      </c>
      <c r="C52" s="5">
        <f ca="1">SUMIFS(INDIRECT("'"&amp;A$49&amp;" - NRPY'!$G:$G"), INDIRECT("'"&amp;A$49&amp;" - NRPY'!$A:$A"), "&gt;"&amp;INDEX(Console!$A$6:$E$14, MATCH($A52, Console!$A$6:$A$263, 0), MATCH(A$49, Console!$A$6:$E$6, 0)), INDIRECT("'"&amp;A$49&amp;" - NRPY'!$A:$A"), IFERROR("&lt;="&amp;IF(INDEX(Console!$A$6:$E$14, MATCH($A52, Console!$A$6:$A$263, 0)+1, MATCH(A$49, Console!$A$6:$E$6, 0))=0, NA(), INDEX(Console!$A$6:$E$14, MATCH($A52, Console!$A$6:$A$263, 0)+1, MATCH(A$49, Console!$A$6:$E$6, 0))),"&gt;0"))</f>
        <v>406232226</v>
      </c>
      <c r="D52" s="5">
        <f ca="1">SUMIFS(INDIRECT("'"&amp;A$49&amp;" - NRPY'!$C:$C"), INDIRECT("'"&amp;A$49&amp;" - NRPY'!$A:$A"), "&gt;"&amp;INDEX(Console!$A$6:$E$14, MATCH($A24, Console!$A$6:$A$263, 0), MATCH(A$49, Console!$A$6:$E$6, 0)), INDIRECT("'"&amp;A$49&amp;" - NRPY'!$A:$A"), IFERROR("&lt;="&amp;IF(INDEX(Console!$A$6:$E$14, MATCH($A24, Console!$A$6:$A$263, 0)+1, MATCH(A$49, Console!$A$6:$E$6, 0))=0, NA(), INDEX(Console!$A$6:$E$14, MATCH($A24, Console!$A$6:$A$263, 0)+1, MATCH(A$49, Console!$A$6:$E$6, 0))),"&gt;0"))</f>
        <v>9892</v>
      </c>
      <c r="E52" s="5">
        <f t="shared" ca="1" si="23"/>
        <v>41066.743429033566</v>
      </c>
      <c r="F52">
        <f ca="1">IF(E52&lt;Console!E$21, Console!E$20, MAX((Console!E$22-E52)/1000*Console!E$23, 0))</f>
        <v>15933.256570966434</v>
      </c>
      <c r="G52">
        <f ca="1">IF(E52&gt;Console!E$31, MIN((E52-Console!E$31)*Console!E$33/1000, Console!E$32), 0)+IF(E52&gt;Console!E$36, MIN((E52-Console!E$36)*Console!E$38/1000, Console!E$37), 0)</f>
        <v>0</v>
      </c>
      <c r="H52" s="5">
        <f t="shared" ca="1" si="24"/>
        <v>0</v>
      </c>
      <c r="I52" s="18">
        <f ca="1">IF(E52&gt;Console!E$26, IF(E52&lt;Console!E$27, (E52-Console!E$26)*Console!E$28/1000, (Console!E$27-Console!E$26)*Console!E$28/1000), 0)</f>
        <v>0</v>
      </c>
      <c r="J52" s="5">
        <f t="shared" ca="1" si="25"/>
        <v>16000</v>
      </c>
      <c r="K52" s="5">
        <f t="shared" ca="1" si="26"/>
        <v>9133.4868580671318</v>
      </c>
      <c r="L52" s="5">
        <f t="shared" ca="1" si="27"/>
        <v>0</v>
      </c>
      <c r="M52" s="5">
        <f t="shared" ca="1" si="27"/>
        <v>0</v>
      </c>
      <c r="N52" s="5">
        <f t="shared" ca="1" si="27"/>
        <v>0</v>
      </c>
      <c r="O52" s="5">
        <f t="shared" ca="1" si="27"/>
        <v>0</v>
      </c>
      <c r="P52" s="5">
        <f t="shared" ca="1" si="27"/>
        <v>0</v>
      </c>
      <c r="Q52" s="5">
        <f t="shared" ca="1" si="27"/>
        <v>0</v>
      </c>
      <c r="R52" s="5">
        <f t="shared" ca="1" si="27"/>
        <v>0</v>
      </c>
      <c r="S52" s="5">
        <f t="shared" ca="1" si="27"/>
        <v>0</v>
      </c>
      <c r="T52" s="18">
        <f t="shared" ca="1" si="27"/>
        <v>0</v>
      </c>
      <c r="U52" s="16">
        <f t="shared" ca="1" si="28"/>
        <v>0.63660088591585362</v>
      </c>
      <c r="V52" s="16">
        <f t="shared" ca="1" si="29"/>
        <v>0.36339911408414638</v>
      </c>
      <c r="W52" s="16">
        <f t="shared" ca="1" si="29"/>
        <v>0</v>
      </c>
      <c r="X52" s="16">
        <f t="shared" ca="1" si="29"/>
        <v>0</v>
      </c>
      <c r="Y52" s="16">
        <f t="shared" ca="1" si="29"/>
        <v>0</v>
      </c>
      <c r="Z52" s="16">
        <f t="shared" ca="1" si="29"/>
        <v>0</v>
      </c>
      <c r="AA52" s="16">
        <f t="shared" ca="1" si="29"/>
        <v>0</v>
      </c>
      <c r="AB52" s="16">
        <f t="shared" ca="1" si="29"/>
        <v>0</v>
      </c>
      <c r="AC52" s="16">
        <f t="shared" ca="1" si="29"/>
        <v>0</v>
      </c>
      <c r="AD52" s="16">
        <f t="shared" ca="1" si="29"/>
        <v>0</v>
      </c>
      <c r="AE52" s="16">
        <f t="shared" ca="1" si="29"/>
        <v>0</v>
      </c>
      <c r="AF52" s="23">
        <f ca="1">SUMIFS(INDIRECT("'"&amp;A$49&amp;" - NRPY'!$O:$O"), INDIRECT("'"&amp;A$49&amp;" - NRPY'!$A:$A"), "&gt;"&amp;INDEX(Console!$A$6:$E$14, MATCH($A24, Console!$A$6:$A$263, 0), MATCH(A$49, Console!$A$6:$E$6, 0)), INDIRECT("'"&amp;A$49&amp;" - NRPY'!$A:$A"), IFERROR("&lt;="&amp;IF(INDEX(Console!$A$6:$E$14, MATCH($A24, Console!$A$6:$A$263, 0)+1, MATCH(A$49, Console!$A$6:$E$6, 0))=0, NA(), INDEX(Console!$A$6:$E$14, MATCH($A24, Console!$A$6:$A$263, 0)+1, MATCH(A$49, Console!$A$6:$E$6, 0))),"&gt;0"))</f>
        <v>5763240</v>
      </c>
    </row>
    <row r="53" spans="1:32" x14ac:dyDescent="0.25">
      <c r="A53" s="20">
        <f>Console!A9</f>
        <v>5.5E-2</v>
      </c>
      <c r="B53" s="8">
        <f>Console!E9</f>
        <v>80000</v>
      </c>
      <c r="C53" s="5">
        <f ca="1">SUMIFS(INDIRECT("'"&amp;A$49&amp;" - NRPY'!$G:$G"), INDIRECT("'"&amp;A$49&amp;" - NRPY'!$A:$A"), "&gt;"&amp;INDEX(Console!$A$6:$E$14, MATCH($A53, Console!$A$6:$A$263, 0), MATCH(A$49, Console!$A$6:$E$6, 0)), INDIRECT("'"&amp;A$49&amp;" - NRPY'!$A:$A"), IFERROR("&lt;="&amp;IF(INDEX(Console!$A$6:$E$14, MATCH($A53, Console!$A$6:$A$263, 0)+1, MATCH(A$49, Console!$A$6:$E$6, 0))=0, NA(), INDEX(Console!$A$6:$E$14, MATCH($A53, Console!$A$6:$A$263, 0)+1, MATCH(A$49, Console!$A$6:$E$6, 0))),"&gt;0"))</f>
        <v>347834275</v>
      </c>
      <c r="D53" s="5">
        <f ca="1">SUMIFS(INDIRECT("'"&amp;A$49&amp;" - NRPY'!$C:$C"), INDIRECT("'"&amp;A$49&amp;" - NRPY'!$A:$A"), "&gt;"&amp;INDEX(Console!$A$6:$E$14, MATCH($A25, Console!$A$6:$A$263, 0), MATCH(A$49, Console!$A$6:$E$6, 0)), INDIRECT("'"&amp;A$49&amp;" - NRPY'!$A:$A"), IFERROR("&lt;="&amp;IF(INDEX(Console!$A$6:$E$14, MATCH($A25, Console!$A$6:$A$263, 0)+1, MATCH(A$49, Console!$A$6:$E$6, 0))=0, NA(), INDEX(Console!$A$6:$E$14, MATCH($A25, Console!$A$6:$A$263, 0)+1, MATCH(A$49, Console!$A$6:$E$6, 0))),"&gt;0"))</f>
        <v>3416</v>
      </c>
      <c r="E53" s="5">
        <f t="shared" ca="1" si="23"/>
        <v>101825.02195550351</v>
      </c>
      <c r="F53">
        <f ca="1">IF(E53&lt;Console!E$21, Console!E$20, MAX((Console!E$22-E53)/1000*Console!E$23, 0))</f>
        <v>0</v>
      </c>
      <c r="G53">
        <f ca="1">IF(E53&gt;Console!E$31, MIN((E53-Console!E$31)*Console!E$33/1000, Console!E$32), 0)+IF(E53&gt;Console!E$36, MIN((E53-Console!E$36)*Console!E$38/1000, Console!E$37), 0)</f>
        <v>0</v>
      </c>
      <c r="H53" s="5">
        <f t="shared" ca="1" si="24"/>
        <v>0</v>
      </c>
      <c r="I53" s="18">
        <f ca="1">IF(E53&gt;Console!E$26, IF(E53&lt;Console!E$27, (E53-Console!E$26)*Console!E$28/1000, (Console!E$27-Console!E$26)*Console!E$28/1000), 0)</f>
        <v>9330.0087822014048</v>
      </c>
      <c r="J53" s="5">
        <f t="shared" ca="1" si="25"/>
        <v>6669.9912177985952</v>
      </c>
      <c r="K53" s="5">
        <f t="shared" ca="1" si="26"/>
        <v>73330.008782201403</v>
      </c>
      <c r="L53" s="5">
        <f t="shared" ca="1" si="27"/>
        <v>21825.021955503515</v>
      </c>
      <c r="M53" s="5">
        <f t="shared" ca="1" si="27"/>
        <v>0</v>
      </c>
      <c r="N53" s="5">
        <f t="shared" ca="1" si="27"/>
        <v>0</v>
      </c>
      <c r="O53" s="5">
        <f t="shared" ca="1" si="27"/>
        <v>0</v>
      </c>
      <c r="P53" s="5">
        <f t="shared" ca="1" si="27"/>
        <v>0</v>
      </c>
      <c r="Q53" s="5">
        <f t="shared" ca="1" si="27"/>
        <v>0</v>
      </c>
      <c r="R53" s="5">
        <f t="shared" ca="1" si="27"/>
        <v>0</v>
      </c>
      <c r="S53" s="5">
        <f t="shared" ca="1" si="27"/>
        <v>0</v>
      </c>
      <c r="T53" s="18">
        <f t="shared" ca="1" si="27"/>
        <v>0</v>
      </c>
      <c r="U53" s="16">
        <f t="shared" ca="1" si="28"/>
        <v>6.5504441734501317E-2</v>
      </c>
      <c r="V53" s="16">
        <f t="shared" ca="1" si="29"/>
        <v>0.72015706330263163</v>
      </c>
      <c r="W53" s="16">
        <f t="shared" ca="1" si="29"/>
        <v>0.21433849496286703</v>
      </c>
      <c r="X53" s="16">
        <f t="shared" ca="1" si="29"/>
        <v>0</v>
      </c>
      <c r="Y53" s="16">
        <f t="shared" ca="1" si="29"/>
        <v>0</v>
      </c>
      <c r="Z53" s="16">
        <f t="shared" ca="1" si="29"/>
        <v>0</v>
      </c>
      <c r="AA53" s="16">
        <f t="shared" ca="1" si="29"/>
        <v>0</v>
      </c>
      <c r="AB53" s="16">
        <f t="shared" ca="1" si="29"/>
        <v>0</v>
      </c>
      <c r="AC53" s="16">
        <f t="shared" ca="1" si="29"/>
        <v>0</v>
      </c>
      <c r="AD53" s="16">
        <f t="shared" ca="1" si="29"/>
        <v>0</v>
      </c>
      <c r="AE53" s="16">
        <f t="shared" ca="1" si="29"/>
        <v>0</v>
      </c>
      <c r="AF53" s="23">
        <f ca="1">SUMIFS(INDIRECT("'"&amp;A$49&amp;" - NRPY'!$O:$O"), INDIRECT("'"&amp;A$49&amp;" - NRPY'!$A:$A"), "&gt;"&amp;INDEX(Console!$A$6:$E$14, MATCH($A25, Console!$A$6:$A$263, 0), MATCH(A$49, Console!$A$6:$E$6, 0)), INDIRECT("'"&amp;A$49&amp;" - NRPY'!$A:$A"), IFERROR("&lt;="&amp;IF(INDEX(Console!$A$6:$E$14, MATCH($A25, Console!$A$6:$A$263, 0)+1, MATCH(A$49, Console!$A$6:$E$6, 0))=0, NA(), INDEX(Console!$A$6:$E$14, MATCH($A25, Console!$A$6:$A$263, 0)+1, MATCH(A$49, Console!$A$6:$E$6, 0))),"&gt;0"))</f>
        <v>8402154</v>
      </c>
    </row>
    <row r="54" spans="1:32" x14ac:dyDescent="0.25">
      <c r="A54" s="20">
        <f>Console!A10</f>
        <v>0.06</v>
      </c>
      <c r="B54" s="8">
        <f>Console!E10</f>
        <v>160000</v>
      </c>
      <c r="C54" s="5">
        <f ca="1">SUMIFS(INDIRECT("'"&amp;A$49&amp;" - NRPY'!$G:$G"), INDIRECT("'"&amp;A$49&amp;" - NRPY'!$A:$A"), "&gt;"&amp;INDEX(Console!$A$6:$E$14, MATCH($A54, Console!$A$6:$A$263, 0), MATCH(A$49, Console!$A$6:$E$6, 0)), INDIRECT("'"&amp;A$49&amp;" - NRPY'!$A:$A"), IFERROR("&lt;="&amp;IF(INDEX(Console!$A$6:$E$14, MATCH($A54, Console!$A$6:$A$263, 0)+1, MATCH(A$49, Console!$A$6:$E$6, 0))=0, NA(), INDEX(Console!$A$6:$E$14, MATCH($A54, Console!$A$6:$A$263, 0)+1, MATCH(A$49, Console!$A$6:$E$6, 0))),"&gt;0"))</f>
        <v>190204827</v>
      </c>
      <c r="D54" s="5">
        <f ca="1">SUMIFS(INDIRECT("'"&amp;A$49&amp;" - NRPY'!$C:$C"), INDIRECT("'"&amp;A$49&amp;" - NRPY'!$A:$A"), "&gt;"&amp;INDEX(Console!$A$6:$E$14, MATCH($A26, Console!$A$6:$A$263, 0), MATCH(A$49, Console!$A$6:$E$6, 0)), INDIRECT("'"&amp;A$49&amp;" - NRPY'!$A:$A"), IFERROR("&lt;="&amp;IF(INDEX(Console!$A$6:$E$14, MATCH($A26, Console!$A$6:$A$263, 0)+1, MATCH(A$49, Console!$A$6:$E$6, 0))=0, NA(), INDEX(Console!$A$6:$E$14, MATCH($A26, Console!$A$6:$A$263, 0)+1, MATCH(A$49, Console!$A$6:$E$6, 0))),"&gt;0"))</f>
        <v>1008</v>
      </c>
      <c r="E54" s="5">
        <f t="shared" ca="1" si="23"/>
        <v>188695.26488095237</v>
      </c>
      <c r="F54">
        <f ca="1">IF(E54&lt;Console!E$21, Console!E$20, MAX((Console!E$22-E54)/1000*Console!E$23, 0))</f>
        <v>0</v>
      </c>
      <c r="G54">
        <f ca="1">IF(E54&gt;Console!E$31, MIN((E54-Console!E$31)*Console!E$33/1000, Console!E$32), 0)+IF(E54&gt;Console!E$36, MIN((E54-Console!E$36)*Console!E$38/1000, Console!E$37), 0)</f>
        <v>0</v>
      </c>
      <c r="H54" s="5">
        <f t="shared" ca="1" si="24"/>
        <v>0</v>
      </c>
      <c r="I54" s="18">
        <f ca="1">IF(E54&gt;Console!E$26, IF(E54&lt;Console!E$27, (E54-Console!E$26)*Console!E$28/1000, (Console!E$27-Console!E$26)*Console!E$28/1000), 0)</f>
        <v>16000</v>
      </c>
      <c r="J54" s="5">
        <f t="shared" ca="1" si="25"/>
        <v>0</v>
      </c>
      <c r="K54" s="5">
        <f t="shared" ca="1" si="26"/>
        <v>80000</v>
      </c>
      <c r="L54" s="5">
        <f t="shared" ca="1" si="27"/>
        <v>80000</v>
      </c>
      <c r="M54" s="5">
        <f t="shared" ca="1" si="27"/>
        <v>28695.264880952367</v>
      </c>
      <c r="N54" s="5">
        <f t="shared" ca="1" si="27"/>
        <v>0</v>
      </c>
      <c r="O54" s="5">
        <f t="shared" ca="1" si="27"/>
        <v>0</v>
      </c>
      <c r="P54" s="5">
        <f t="shared" ca="1" si="27"/>
        <v>0</v>
      </c>
      <c r="Q54" s="5">
        <f t="shared" ca="1" si="27"/>
        <v>0</v>
      </c>
      <c r="R54" s="5">
        <f t="shared" ca="1" si="27"/>
        <v>0</v>
      </c>
      <c r="S54" s="5">
        <f t="shared" ca="1" si="27"/>
        <v>0</v>
      </c>
      <c r="T54" s="18">
        <f t="shared" ca="1" si="27"/>
        <v>0</v>
      </c>
      <c r="U54" s="16">
        <f t="shared" ca="1" si="28"/>
        <v>0</v>
      </c>
      <c r="V54" s="16">
        <f t="shared" ca="1" si="29"/>
        <v>0.42396400381573918</v>
      </c>
      <c r="W54" s="16">
        <f t="shared" ca="1" si="29"/>
        <v>0.42396400381573918</v>
      </c>
      <c r="X54" s="16">
        <f t="shared" ca="1" si="29"/>
        <v>0.1520719923685217</v>
      </c>
      <c r="Y54" s="16">
        <f t="shared" ca="1" si="29"/>
        <v>0</v>
      </c>
      <c r="Z54" s="16">
        <f t="shared" ca="1" si="29"/>
        <v>0</v>
      </c>
      <c r="AA54" s="16">
        <f t="shared" ca="1" si="29"/>
        <v>0</v>
      </c>
      <c r="AB54" s="16">
        <f t="shared" ca="1" si="29"/>
        <v>0</v>
      </c>
      <c r="AC54" s="16">
        <f t="shared" ca="1" si="29"/>
        <v>0</v>
      </c>
      <c r="AD54" s="16">
        <f t="shared" ca="1" si="29"/>
        <v>0</v>
      </c>
      <c r="AE54" s="16">
        <f t="shared" ca="1" si="29"/>
        <v>0</v>
      </c>
      <c r="AF54" s="23">
        <f ca="1">SUMIFS(INDIRECT("'"&amp;A$49&amp;" - NRPY'!$O:$O"), INDIRECT("'"&amp;A$49&amp;" - NRPY'!$A:$A"), "&gt;"&amp;INDEX(Console!$A$6:$E$14, MATCH($A26, Console!$A$6:$A$263, 0), MATCH(A$49, Console!$A$6:$E$6, 0)), INDIRECT("'"&amp;A$49&amp;" - NRPY'!$A:$A"), IFERROR("&lt;="&amp;IF(INDEX(Console!$A$6:$E$14, MATCH($A26, Console!$A$6:$A$263, 0)+1, MATCH(A$49, Console!$A$6:$E$6, 0))=0, NA(), INDEX(Console!$A$6:$E$14, MATCH($A26, Console!$A$6:$A$263, 0)+1, MATCH(A$49, Console!$A$6:$E$6, 0))),"&gt;0"))</f>
        <v>4083673</v>
      </c>
    </row>
    <row r="55" spans="1:32" x14ac:dyDescent="0.25">
      <c r="A55" s="20">
        <f>Console!A11</f>
        <v>6.5000000000000002E-2</v>
      </c>
      <c r="B55" s="8">
        <f>Console!E11</f>
        <v>320000</v>
      </c>
      <c r="C55" s="5">
        <f ca="1">SUMIFS(INDIRECT("'"&amp;A$49&amp;" - NRPY'!$G:$G"), INDIRECT("'"&amp;A$49&amp;" - NRPY'!$A:$A"), "&gt;"&amp;INDEX(Console!$A$6:$E$14, MATCH($A55, Console!$A$6:$A$263, 0), MATCH(A$49, Console!$A$6:$E$6, 0)), INDIRECT("'"&amp;A$49&amp;" - NRPY'!$A:$A"), IFERROR("&lt;="&amp;IF(INDEX(Console!$A$6:$E$14, MATCH($A55, Console!$A$6:$A$263, 0)+1, MATCH(A$49, Console!$A$6:$E$6, 0))=0, NA(), INDEX(Console!$A$6:$E$14, MATCH($A55, Console!$A$6:$A$263, 0)+1, MATCH(A$49, Console!$A$6:$E$6, 0))),"&gt;0"))</f>
        <v>103582955</v>
      </c>
      <c r="D55" s="5">
        <f ca="1">SUMIFS(INDIRECT("'"&amp;A$49&amp;" - NRPY'!$C:$C"), INDIRECT("'"&amp;A$49&amp;" - NRPY'!$A:$A"), "&gt;"&amp;INDEX(Console!$A$6:$E$14, MATCH($A27, Console!$A$6:$A$263, 0), MATCH(A$49, Console!$A$6:$E$6, 0)), INDIRECT("'"&amp;A$49&amp;" - NRPY'!$A:$A"), IFERROR("&lt;="&amp;IF(INDEX(Console!$A$6:$E$14, MATCH($A27, Console!$A$6:$A$263, 0)+1, MATCH(A$49, Console!$A$6:$E$6, 0))=0, NA(), INDEX(Console!$A$6:$E$14, MATCH($A27, Console!$A$6:$A$263, 0)+1, MATCH(A$49, Console!$A$6:$E$6, 0))),"&gt;0"))</f>
        <v>354</v>
      </c>
      <c r="E55" s="5">
        <f t="shared" ca="1" si="23"/>
        <v>292607.21751412429</v>
      </c>
      <c r="F55">
        <f ca="1">IF(E55&lt;Console!E$21, Console!E$20, MAX((Console!E$22-E55)/1000*Console!E$23, 0))</f>
        <v>0</v>
      </c>
      <c r="G55">
        <f ca="1">IF(E55&gt;Console!E$31, MIN((E55-Console!E$31)*Console!E$33/1000, Console!E$32), 0)+IF(E55&gt;Console!E$36, MIN((E55-Console!E$36)*Console!E$38/1000, Console!E$37), 0)</f>
        <v>0</v>
      </c>
      <c r="H55" s="5">
        <f t="shared" ca="1" si="24"/>
        <v>0</v>
      </c>
      <c r="I55" s="18">
        <f ca="1">IF(E55&gt;Console!E$26, IF(E55&lt;Console!E$27, (E55-Console!E$26)*Console!E$28/1000, (Console!E$27-Console!E$26)*Console!E$28/1000), 0)</f>
        <v>16000</v>
      </c>
      <c r="J55" s="5">
        <f t="shared" ca="1" si="25"/>
        <v>0</v>
      </c>
      <c r="K55" s="5">
        <f t="shared" ca="1" si="26"/>
        <v>80000</v>
      </c>
      <c r="L55" s="5">
        <f t="shared" ca="1" si="27"/>
        <v>80000</v>
      </c>
      <c r="M55" s="5">
        <f t="shared" ca="1" si="27"/>
        <v>132607.21751412429</v>
      </c>
      <c r="N55" s="5">
        <f t="shared" ca="1" si="27"/>
        <v>0</v>
      </c>
      <c r="O55" s="5">
        <f t="shared" ca="1" si="27"/>
        <v>0</v>
      </c>
      <c r="P55" s="5">
        <f t="shared" ca="1" si="27"/>
        <v>0</v>
      </c>
      <c r="Q55" s="5">
        <f t="shared" ca="1" si="27"/>
        <v>0</v>
      </c>
      <c r="R55" s="5">
        <f t="shared" ca="1" si="27"/>
        <v>0</v>
      </c>
      <c r="S55" s="5">
        <f t="shared" ca="1" si="27"/>
        <v>0</v>
      </c>
      <c r="T55" s="18">
        <f t="shared" ca="1" si="27"/>
        <v>0</v>
      </c>
      <c r="U55" s="16">
        <f t="shared" ca="1" si="28"/>
        <v>0</v>
      </c>
      <c r="V55" s="16">
        <f t="shared" ca="1" si="29"/>
        <v>0.27340405571553739</v>
      </c>
      <c r="W55" s="16">
        <f t="shared" ca="1" si="29"/>
        <v>0.27340405571553739</v>
      </c>
      <c r="X55" s="16">
        <f t="shared" ca="1" si="29"/>
        <v>0.45319188856892528</v>
      </c>
      <c r="Y55" s="16">
        <f t="shared" ca="1" si="29"/>
        <v>0</v>
      </c>
      <c r="Z55" s="16">
        <f t="shared" ca="1" si="29"/>
        <v>0</v>
      </c>
      <c r="AA55" s="16">
        <f t="shared" ca="1" si="29"/>
        <v>0</v>
      </c>
      <c r="AB55" s="16">
        <f t="shared" ca="1" si="29"/>
        <v>0</v>
      </c>
      <c r="AC55" s="16">
        <f t="shared" ca="1" si="29"/>
        <v>0</v>
      </c>
      <c r="AD55" s="16">
        <f t="shared" ca="1" si="29"/>
        <v>0</v>
      </c>
      <c r="AE55" s="16">
        <f t="shared" ca="1" si="29"/>
        <v>0</v>
      </c>
      <c r="AF55" s="23">
        <f ca="1">SUMIFS(INDIRECT("'"&amp;A$49&amp;" - NRPY'!$O:$O"), INDIRECT("'"&amp;A$49&amp;" - NRPY'!$A:$A"), "&gt;"&amp;INDEX(Console!$A$6:$E$14, MATCH($A27, Console!$A$6:$A$263, 0), MATCH(A$49, Console!$A$6:$E$6, 0)), INDIRECT("'"&amp;A$49&amp;" - NRPY'!$A:$A"), IFERROR("&lt;="&amp;IF(INDEX(Console!$A$6:$E$14, MATCH($A27, Console!$A$6:$A$263, 0)+1, MATCH(A$49, Console!$A$6:$E$6, 0))=0, NA(), INDEX(Console!$A$6:$E$14, MATCH($A27, Console!$A$6:$A$263, 0)+1, MATCH(A$49, Console!$A$6:$E$6, 0))),"&gt;0"))</f>
        <v>1811762</v>
      </c>
    </row>
    <row r="56" spans="1:32" x14ac:dyDescent="0.25">
      <c r="A56" s="20">
        <f>Console!A12</f>
        <v>6.9000000000000006E-2</v>
      </c>
      <c r="B56" s="8">
        <f>Console!E12</f>
        <v>400000</v>
      </c>
      <c r="C56" s="5">
        <f ca="1">SUMIFS(INDIRECT("'"&amp;A$49&amp;" - NRPY'!$G:$G"), INDIRECT("'"&amp;A$49&amp;" - NRPY'!$A:$A"), "&gt;"&amp;INDEX(Console!$A$6:$E$14, MATCH($A56, Console!$A$6:$A$263, 0), MATCH(A$49, Console!$A$6:$E$6, 0)), INDIRECT("'"&amp;A$49&amp;" - NRPY'!$A:$A"), IFERROR("&lt;="&amp;IF(INDEX(Console!$A$6:$E$14, MATCH($A56, Console!$A$6:$A$263, 0)+1, MATCH(A$49, Console!$A$6:$E$6, 0))=0, NA(), INDEX(Console!$A$6:$E$14, MATCH($A56, Console!$A$6:$A$263, 0)+1, MATCH(A$49, Console!$A$6:$E$6, 0))),"&gt;0"))</f>
        <v>93598224</v>
      </c>
      <c r="D56" s="5">
        <f ca="1">SUMIFS(INDIRECT("'"&amp;A$49&amp;" - NRPY'!$C:$C"), INDIRECT("'"&amp;A$49&amp;" - NRPY'!$A:$A"), "&gt;"&amp;INDEX(Console!$A$6:$E$14, MATCH($A28, Console!$A$6:$A$263, 0), MATCH(A$49, Console!$A$6:$E$6, 0)), INDIRECT("'"&amp;A$49&amp;" - NRPY'!$A:$A"), IFERROR("&lt;="&amp;IF(INDEX(Console!$A$6:$E$14, MATCH($A28, Console!$A$6:$A$263, 0)+1, MATCH(A$49, Console!$A$6:$E$6, 0))=0, NA(), INDEX(Console!$A$6:$E$14, MATCH($A28, Console!$A$6:$A$263, 0)+1, MATCH(A$49, Console!$A$6:$E$6, 0))),"&gt;0"))</f>
        <v>222</v>
      </c>
      <c r="E56" s="5">
        <f t="shared" ca="1" si="23"/>
        <v>421613.6216216216</v>
      </c>
      <c r="F56">
        <f ca="1">IF(E56&lt;Console!E$21, Console!E$20, MAX((Console!E$22-E56)/1000*Console!E$23, 0))</f>
        <v>0</v>
      </c>
      <c r="G56">
        <f ca="1">IF(E56&gt;Console!E$31, MIN((E56-Console!E$31)*Console!E$33/1000, Console!E$32), 0)+IF(E56&gt;Console!E$36, MIN((E56-Console!E$36)*Console!E$38/1000, Console!E$37), 0)</f>
        <v>1778.238378378378</v>
      </c>
      <c r="H56" s="5">
        <f t="shared" ca="1" si="24"/>
        <v>394768.91999999993</v>
      </c>
      <c r="I56" s="18">
        <f ca="1">IF(E56&gt;Console!E$26, IF(E56&lt;Console!E$27, (E56-Console!E$26)*Console!E$28/1000, (Console!E$27-Console!E$26)*Console!E$28/1000), 0)</f>
        <v>16000</v>
      </c>
      <c r="J56" s="5">
        <f t="shared" ca="1" si="25"/>
        <v>0</v>
      </c>
      <c r="K56" s="5">
        <f t="shared" ca="1" si="26"/>
        <v>80000</v>
      </c>
      <c r="L56" s="5">
        <f t="shared" ca="1" si="27"/>
        <v>80000</v>
      </c>
      <c r="M56" s="5">
        <f t="shared" ca="1" si="27"/>
        <v>160000</v>
      </c>
      <c r="N56" s="5">
        <f t="shared" ca="1" si="27"/>
        <v>80000</v>
      </c>
      <c r="O56" s="5">
        <f t="shared" ca="1" si="27"/>
        <v>21613.621621621598</v>
      </c>
      <c r="P56" s="5">
        <f t="shared" ca="1" si="27"/>
        <v>0</v>
      </c>
      <c r="Q56" s="5">
        <f t="shared" ca="1" si="27"/>
        <v>0</v>
      </c>
      <c r="R56" s="5">
        <f t="shared" ca="1" si="27"/>
        <v>0</v>
      </c>
      <c r="S56" s="5">
        <f t="shared" ca="1" si="27"/>
        <v>0</v>
      </c>
      <c r="T56" s="18">
        <f t="shared" ca="1" si="27"/>
        <v>0</v>
      </c>
      <c r="U56" s="16">
        <f t="shared" ca="1" si="28"/>
        <v>0</v>
      </c>
      <c r="V56" s="16">
        <f t="shared" ca="1" si="29"/>
        <v>0.18974719007488861</v>
      </c>
      <c r="W56" s="16">
        <f t="shared" ca="1" si="29"/>
        <v>0.18974719007488861</v>
      </c>
      <c r="X56" s="16">
        <f t="shared" ca="1" si="29"/>
        <v>0.37949438014977721</v>
      </c>
      <c r="Y56" s="16">
        <f t="shared" ca="1" si="29"/>
        <v>0.18974719007488861</v>
      </c>
      <c r="Z56" s="16">
        <f t="shared" ca="1" si="29"/>
        <v>5.1264049625556946E-2</v>
      </c>
      <c r="AA56" s="16">
        <f t="shared" ca="1" si="29"/>
        <v>0</v>
      </c>
      <c r="AB56" s="16">
        <f t="shared" ca="1" si="29"/>
        <v>0</v>
      </c>
      <c r="AC56" s="16">
        <f t="shared" ca="1" si="29"/>
        <v>0</v>
      </c>
      <c r="AD56" s="16">
        <f t="shared" ca="1" si="29"/>
        <v>0</v>
      </c>
      <c r="AE56" s="16">
        <f t="shared" ca="1" si="29"/>
        <v>0</v>
      </c>
      <c r="AF56" s="23">
        <f ca="1">SUMIFS(INDIRECT("'"&amp;A$49&amp;" - NRPY'!$O:$O"), INDIRECT("'"&amp;A$49&amp;" - NRPY'!$A:$A"), "&gt;"&amp;INDEX(Console!$A$6:$E$14, MATCH($A28, Console!$A$6:$A$263, 0), MATCH(A$49, Console!$A$6:$E$6, 0)), INDIRECT("'"&amp;A$49&amp;" - NRPY'!$A:$A"), IFERROR("&lt;="&amp;IF(INDEX(Console!$A$6:$E$14, MATCH($A28, Console!$A$6:$A$263, 0)+1, MATCH(A$49, Console!$A$6:$E$6, 0))=0, NA(), INDEX(Console!$A$6:$E$14, MATCH($A28, Console!$A$6:$A$263, 0)+1, MATCH(A$49, Console!$A$6:$E$6, 0))),"&gt;0"))</f>
        <v>1835971</v>
      </c>
    </row>
    <row r="57" spans="1:32" x14ac:dyDescent="0.25">
      <c r="A57" s="20">
        <f>Console!A13</f>
        <v>6.9900000000000004E-2</v>
      </c>
      <c r="B57" s="8">
        <f>Console!E13</f>
        <v>800000</v>
      </c>
      <c r="C57" s="5">
        <f ca="1">SUMIFS(INDIRECT("'"&amp;A$49&amp;" - NRPY'!$G:$G"), INDIRECT("'"&amp;A$49&amp;" - NRPY'!$A:$A"), "&gt;"&amp;INDEX(Console!$A$6:$E$14, MATCH($A57, Console!$A$6:$A$263, 0), MATCH(A$49, Console!$A$6:$E$6, 0)), INDIRECT("'"&amp;A$49&amp;" - NRPY'!$A:$A"), IFERROR("&lt;="&amp;IF(INDEX(Console!$A$6:$E$14, MATCH($A57, Console!$A$6:$A$263, 0)+1, MATCH(A$49, Console!$A$6:$E$6, 0))=0, NA(), INDEX(Console!$A$6:$E$14, MATCH($A57, Console!$A$6:$A$263, 0)+1, MATCH(A$49, Console!$A$6:$E$6, 0))),"&gt;0"))</f>
        <v>2630316038</v>
      </c>
      <c r="D57" s="5">
        <f ca="1">SUMIFS(INDIRECT("'"&amp;A$49&amp;" - NRPY'!$C:$C"), INDIRECT("'"&amp;A$49&amp;" - NRPY'!$A:$A"), "&gt;"&amp;INDEX(Console!$A$6:$E$14, MATCH($A29, Console!$A$6:$A$263, 0), MATCH(A$49, Console!$A$6:$E$6, 0)), INDIRECT("'"&amp;A$49&amp;" - NRPY'!$A:$A"), IFERROR("&lt;="&amp;IF(INDEX(Console!$A$6:$E$14, MATCH($A29, Console!$A$6:$A$263, 0)+1, MATCH(A$49, Console!$A$6:$E$6, 0))=0, NA(), INDEX(Console!$A$6:$E$14, MATCH($A29, Console!$A$6:$A$263, 0)+1, MATCH(A$49, Console!$A$6:$E$6, 0))),"&gt;0"))</f>
        <v>568</v>
      </c>
      <c r="E57" s="5">
        <f t="shared" ca="1" si="23"/>
        <v>4630838.0950704226</v>
      </c>
      <c r="F57">
        <f ca="1">IF(E57&lt;Console!E$21, Console!E$20, MAX((Console!E$22-E57)/1000*Console!E$23, 0))</f>
        <v>0</v>
      </c>
      <c r="G57">
        <f ca="1">IF(E57&gt;Console!E$31, MIN((E57-Console!E$31)*Console!E$33/1000, Console!E$32), 0)+IF(E57&gt;Console!E$36, MIN((E57-Console!E$36)*Console!E$38/1000, Console!E$37), 0)</f>
        <v>4920</v>
      </c>
      <c r="H57" s="5">
        <f t="shared" ca="1" si="24"/>
        <v>2794560</v>
      </c>
      <c r="I57" s="18">
        <f ca="1">IF(E57&gt;Console!E$26, IF(E57&lt;Console!E$27, (E57-Console!E$26)*Console!E$28/1000, (Console!E$27-Console!E$26)*Console!E$28/1000), 0)</f>
        <v>16000</v>
      </c>
      <c r="J57" s="5">
        <f t="shared" ca="1" si="25"/>
        <v>0</v>
      </c>
      <c r="K57" s="5">
        <f t="shared" ca="1" si="26"/>
        <v>80000</v>
      </c>
      <c r="L57" s="5">
        <f t="shared" ca="1" si="27"/>
        <v>80000</v>
      </c>
      <c r="M57" s="5">
        <f t="shared" ca="1" si="27"/>
        <v>160000</v>
      </c>
      <c r="N57" s="5">
        <f t="shared" ca="1" si="27"/>
        <v>80000</v>
      </c>
      <c r="O57" s="5">
        <f t="shared" ca="1" si="27"/>
        <v>400000</v>
      </c>
      <c r="P57" s="5">
        <f t="shared" ca="1" si="27"/>
        <v>3830838.0950704226</v>
      </c>
      <c r="Q57" s="5">
        <f t="shared" ca="1" si="27"/>
        <v>0</v>
      </c>
      <c r="R57" s="5">
        <f t="shared" ca="1" si="27"/>
        <v>0</v>
      </c>
      <c r="S57" s="5">
        <f t="shared" ca="1" si="27"/>
        <v>0</v>
      </c>
      <c r="T57" s="18">
        <f t="shared" ca="1" si="27"/>
        <v>0</v>
      </c>
      <c r="U57" s="16">
        <f t="shared" ca="1" si="28"/>
        <v>0</v>
      </c>
      <c r="V57" s="16">
        <f t="shared" ca="1" si="29"/>
        <v>1.7275490603992583E-2</v>
      </c>
      <c r="W57" s="16">
        <f t="shared" ca="1" si="29"/>
        <v>1.7275490603992583E-2</v>
      </c>
      <c r="X57" s="16">
        <f t="shared" ca="1" si="29"/>
        <v>3.4550981207985165E-2</v>
      </c>
      <c r="Y57" s="16">
        <f t="shared" ca="1" si="29"/>
        <v>1.7275490603992583E-2</v>
      </c>
      <c r="Z57" s="16">
        <f t="shared" ca="1" si="29"/>
        <v>8.6377453019962913E-2</v>
      </c>
      <c r="AA57" s="16">
        <f t="shared" ca="1" si="29"/>
        <v>0.82724509396007417</v>
      </c>
      <c r="AB57" s="16">
        <f t="shared" ca="1" si="29"/>
        <v>0</v>
      </c>
      <c r="AC57" s="16">
        <f t="shared" ca="1" si="29"/>
        <v>0</v>
      </c>
      <c r="AD57" s="16">
        <f t="shared" ca="1" si="29"/>
        <v>0</v>
      </c>
      <c r="AE57" s="16">
        <f t="shared" ca="1" si="29"/>
        <v>0</v>
      </c>
      <c r="AF57" s="23">
        <f ca="1">SUMIFS(INDIRECT("'"&amp;A$49&amp;" - NRPY'!$O:$O"), INDIRECT("'"&amp;A$49&amp;" - NRPY'!$A:$A"), "&gt;"&amp;INDEX(Console!$A$6:$E$14, MATCH($A29, Console!$A$6:$A$263, 0), MATCH(A$49, Console!$A$6:$E$6, 0)), INDIRECT("'"&amp;A$49&amp;" - NRPY'!$A:$A"), IFERROR("&lt;="&amp;IF(INDEX(Console!$A$6:$E$14, MATCH($A29, Console!$A$6:$A$263, 0)+1, MATCH(A$49, Console!$A$6:$E$6, 0))=0, NA(), INDEX(Console!$A$6:$E$14, MATCH($A29, Console!$A$6:$A$263, 0)+1, MATCH(A$49, Console!$A$6:$E$6, 0))),"&gt;0"))</f>
        <v>7344952</v>
      </c>
    </row>
    <row r="58" spans="1:32" x14ac:dyDescent="0.25">
      <c r="A58" s="20">
        <f>Console!A14</f>
        <v>0</v>
      </c>
      <c r="B58" s="8">
        <f>Console!E14</f>
        <v>0</v>
      </c>
      <c r="C58" s="5">
        <f ca="1">SUMIFS(INDIRECT("'"&amp;A$49&amp;" - NRPY'!$G:$G"), INDIRECT("'"&amp;A$49&amp;" - NRPY'!$A:$A"), "&gt;"&amp;INDEX(Console!$A$6:$E$14, MATCH($A58, Console!$A$6:$A$263, 0), MATCH(A$49, Console!$A$6:$E$6, 0)), INDIRECT("'"&amp;A$49&amp;" - NRPY'!$A:$A"), IFERROR("&lt;="&amp;IF(INDEX(Console!$A$6:$E$14, MATCH($A58, Console!$A$6:$A$263, 0)+1, MATCH(A$49, Console!$A$6:$E$6, 0))=0, NA(), INDEX(Console!$A$6:$E$14, MATCH($A58, Console!$A$6:$A$263, 0)+1, MATCH(A$49, Console!$A$6:$E$6, 0))),"&gt;0"))</f>
        <v>0</v>
      </c>
      <c r="D58" s="5">
        <f ca="1">SUMIFS(INDIRECT("'"&amp;A$49&amp;" - NRPY'!$C:$C"), INDIRECT("'"&amp;A$49&amp;" - NRPY'!$A:$A"), "&gt;"&amp;INDEX(Console!$A$6:$E$14, MATCH($A30, Console!$A$6:$A$263, 0), MATCH(A$49, Console!$A$6:$E$6, 0)), INDIRECT("'"&amp;A$49&amp;" - NRPY'!$A:$A"), IFERROR("&lt;="&amp;IF(INDEX(Console!$A$6:$E$14, MATCH($A30, Console!$A$6:$A$263, 0)+1, MATCH(A$49, Console!$A$6:$E$6, 0))=0, NA(), INDEX(Console!$A$6:$E$14, MATCH($A30, Console!$A$6:$A$263, 0)+1, MATCH(A$49, Console!$A$6:$E$6, 0))),"&gt;0"))</f>
        <v>0</v>
      </c>
      <c r="E58" s="5">
        <f t="shared" ca="1" si="23"/>
        <v>0</v>
      </c>
      <c r="F58">
        <f ca="1">IF(E58&lt;Console!E$21, Console!E$20, MAX((Console!E$22-E58)/1000*Console!E$23, 0))</f>
        <v>19000</v>
      </c>
      <c r="G58">
        <f ca="1">IF(E58&gt;Console!E$31, MIN((E58-Console!E$31)*Console!E$33/1000, Console!E$32), 0)+IF(E58&gt;Console!E$36, MIN((E58-Console!E$36)*Console!E$38/1000, Console!E$37), 0)</f>
        <v>0</v>
      </c>
      <c r="H58" s="5">
        <f t="shared" ca="1" si="24"/>
        <v>0</v>
      </c>
      <c r="I58" s="18">
        <f ca="1">IF(E58&gt;Console!E$26, IF(E58&lt;Console!E$27, (E58-Console!E$26)*Console!E$28/1000, (Console!E$27-Console!E$26)*Console!E$28/1000), 0)</f>
        <v>0</v>
      </c>
      <c r="J58" s="5">
        <f t="shared" ca="1" si="25"/>
        <v>0</v>
      </c>
      <c r="K58" s="5">
        <f t="shared" ca="1" si="26"/>
        <v>0</v>
      </c>
      <c r="L58" s="5">
        <f t="shared" ca="1" si="27"/>
        <v>0</v>
      </c>
      <c r="M58" s="5">
        <f t="shared" ca="1" si="27"/>
        <v>0</v>
      </c>
      <c r="N58" s="5">
        <f t="shared" ca="1" si="27"/>
        <v>0</v>
      </c>
      <c r="O58" s="5">
        <f t="shared" ca="1" si="27"/>
        <v>0</v>
      </c>
      <c r="P58" s="5">
        <f t="shared" ca="1" si="27"/>
        <v>0</v>
      </c>
      <c r="Q58" s="5">
        <f t="shared" ca="1" si="27"/>
        <v>0</v>
      </c>
      <c r="R58" s="5">
        <f t="shared" ca="1" si="27"/>
        <v>0</v>
      </c>
      <c r="S58" s="5">
        <f t="shared" ca="1" si="27"/>
        <v>0</v>
      </c>
      <c r="T58" s="18">
        <f t="shared" ca="1" si="27"/>
        <v>0</v>
      </c>
      <c r="U58" s="16">
        <f t="shared" ca="1" si="28"/>
        <v>1</v>
      </c>
      <c r="V58" s="16">
        <f t="shared" ca="1" si="29"/>
        <v>0</v>
      </c>
      <c r="W58" s="16">
        <f t="shared" ca="1" si="29"/>
        <v>0</v>
      </c>
      <c r="X58" s="16">
        <f t="shared" ca="1" si="29"/>
        <v>0</v>
      </c>
      <c r="Y58" s="16">
        <f t="shared" ca="1" si="29"/>
        <v>0</v>
      </c>
      <c r="Z58" s="16">
        <f t="shared" ca="1" si="29"/>
        <v>0</v>
      </c>
      <c r="AA58" s="16">
        <f t="shared" ca="1" si="29"/>
        <v>0</v>
      </c>
      <c r="AB58" s="16">
        <f t="shared" ca="1" si="29"/>
        <v>0</v>
      </c>
      <c r="AC58" s="16">
        <f t="shared" ca="1" si="29"/>
        <v>0</v>
      </c>
      <c r="AD58" s="16">
        <f t="shared" ca="1" si="29"/>
        <v>0</v>
      </c>
      <c r="AE58" s="16">
        <f t="shared" ca="1" si="29"/>
        <v>0</v>
      </c>
      <c r="AF58" s="23">
        <f ca="1">SUMIFS(INDIRECT("'"&amp;A$49&amp;" - NRPY'!$O:$O"), INDIRECT("'"&amp;A$49&amp;" - NRPY'!$A:$A"), "&gt;"&amp;INDEX(Console!$A$6:$E$14, MATCH($A30, Console!$A$6:$A$263, 0), MATCH(A$49, Console!$A$6:$E$6, 0)), INDIRECT("'"&amp;A$49&amp;" - NRPY'!$A:$A"), IFERROR("&lt;="&amp;IF(INDEX(Console!$A$6:$E$14, MATCH($A30, Console!$A$6:$A$263, 0)+1, MATCH(A$49, Console!$A$6:$E$6, 0))=0, NA(), INDEX(Console!$A$6:$E$14, MATCH($A30, Console!$A$6:$A$263, 0)+1, MATCH(A$49, Console!$A$6:$E$6, 0))),"&gt;0"))</f>
        <v>0</v>
      </c>
    </row>
    <row r="59" spans="1:32" x14ac:dyDescent="0.25">
      <c r="A59" s="20">
        <f>Console!A15</f>
        <v>0</v>
      </c>
      <c r="B59" s="8">
        <f>Console!E15</f>
        <v>0</v>
      </c>
      <c r="C59" s="5">
        <f ca="1">SUMIFS(INDIRECT("'"&amp;A$49&amp;" - NRPY'!$G:$G"), INDIRECT("'"&amp;A$49&amp;" - NRPY'!$A:$A"), "&gt;"&amp;INDEX(Console!$A$6:$E$14, MATCH($A59, Console!$A$6:$A$263, 0), MATCH(A$49, Console!$A$6:$E$6, 0)), INDIRECT("'"&amp;A$49&amp;" - NRPY'!$A:$A"), IFERROR("&lt;="&amp;IF(INDEX(Console!$A$6:$E$14, MATCH($A59, Console!$A$6:$A$263, 0)+1, MATCH(A$49, Console!$A$6:$E$6, 0))=0, NA(), INDEX(Console!$A$6:$E$14, MATCH($A59, Console!$A$6:$A$263, 0)+1, MATCH(A$49, Console!$A$6:$E$6, 0))),"&gt;0"))</f>
        <v>0</v>
      </c>
      <c r="D59" s="5">
        <f ca="1">SUMIFS(INDIRECT("'"&amp;A$49&amp;" - NRPY'!$C:$C"), INDIRECT("'"&amp;A$49&amp;" - NRPY'!$A:$A"), "&gt;"&amp;INDEX(Console!$A$6:$E$14, MATCH($A31, Console!$A$6:$A$263, 0), MATCH(A$49, Console!$A$6:$E$6, 0)), INDIRECT("'"&amp;A$49&amp;" - NRPY'!$A:$A"), IFERROR("&lt;="&amp;IF(INDEX(Console!$A$6:$E$14, MATCH($A31, Console!$A$6:$A$263, 0)+1, MATCH(A$49, Console!$A$6:$E$6, 0))=0, NA(), INDEX(Console!$A$6:$E$14, MATCH($A31, Console!$A$6:$A$263, 0)+1, MATCH(A$49, Console!$A$6:$E$6, 0))),"&gt;0"))</f>
        <v>0</v>
      </c>
      <c r="E59" s="5">
        <f t="shared" ca="1" si="23"/>
        <v>0</v>
      </c>
      <c r="F59">
        <f ca="1">IF(E59&lt;Console!E$21, Console!E$20, MAX((Console!E$22-E59)/1000*Console!E$23, 0))</f>
        <v>19000</v>
      </c>
      <c r="G59">
        <f ca="1">IF(E59&gt;Console!E$31, MIN((E59-Console!E$31)*Console!E$33/1000, Console!E$32), 0)+IF(E59&gt;Console!E$36, MIN((E59-Console!E$36)*Console!E$38/1000, Console!E$37), 0)</f>
        <v>0</v>
      </c>
      <c r="H59" s="5">
        <f t="shared" ca="1" si="24"/>
        <v>0</v>
      </c>
      <c r="I59" s="18">
        <f ca="1">IF(E59&gt;Console!E$26, IF(E59&lt;Console!E$27, (E59-Console!E$26)*Console!E$28/1000, (Console!E$27-Console!E$26)*Console!E$28/1000), 0)</f>
        <v>0</v>
      </c>
      <c r="J59" s="5">
        <f t="shared" ca="1" si="25"/>
        <v>0</v>
      </c>
      <c r="K59" s="5">
        <f t="shared" ca="1" si="26"/>
        <v>0</v>
      </c>
      <c r="L59" s="5">
        <f t="shared" ca="1" si="27"/>
        <v>0</v>
      </c>
      <c r="M59" s="5">
        <f t="shared" ca="1" si="27"/>
        <v>0</v>
      </c>
      <c r="N59" s="5">
        <f t="shared" ca="1" si="27"/>
        <v>0</v>
      </c>
      <c r="O59" s="5">
        <f t="shared" ca="1" si="27"/>
        <v>0</v>
      </c>
      <c r="P59" s="5">
        <f t="shared" ca="1" si="27"/>
        <v>0</v>
      </c>
      <c r="Q59" s="5">
        <f t="shared" ca="1" si="27"/>
        <v>0</v>
      </c>
      <c r="R59" s="5">
        <f t="shared" ca="1" si="27"/>
        <v>0</v>
      </c>
      <c r="S59" s="5">
        <f t="shared" ca="1" si="27"/>
        <v>0</v>
      </c>
      <c r="T59" s="18">
        <f t="shared" ca="1" si="27"/>
        <v>0</v>
      </c>
      <c r="U59" s="16">
        <f t="shared" ca="1" si="28"/>
        <v>1</v>
      </c>
      <c r="V59" s="16">
        <f t="shared" ca="1" si="29"/>
        <v>0</v>
      </c>
      <c r="W59" s="16">
        <f t="shared" ca="1" si="29"/>
        <v>0</v>
      </c>
      <c r="X59" s="16">
        <f t="shared" ca="1" si="29"/>
        <v>0</v>
      </c>
      <c r="Y59" s="16">
        <f t="shared" ca="1" si="29"/>
        <v>0</v>
      </c>
      <c r="Z59" s="16">
        <f t="shared" ca="1" si="29"/>
        <v>0</v>
      </c>
      <c r="AA59" s="16">
        <f t="shared" ca="1" si="29"/>
        <v>0</v>
      </c>
      <c r="AB59" s="16">
        <f t="shared" ca="1" si="29"/>
        <v>0</v>
      </c>
      <c r="AC59" s="16">
        <f t="shared" ca="1" si="29"/>
        <v>0</v>
      </c>
      <c r="AD59" s="16">
        <f t="shared" ca="1" si="29"/>
        <v>0</v>
      </c>
      <c r="AE59" s="16">
        <f t="shared" ca="1" si="29"/>
        <v>0</v>
      </c>
      <c r="AF59" s="23">
        <f ca="1">SUMIFS(INDIRECT("'"&amp;A$49&amp;" - NRPY'!$O:$O"), INDIRECT("'"&amp;A$49&amp;" - NRPY'!$A:$A"), "&gt;"&amp;INDEX(Console!$A$6:$E$14, MATCH($A31, Console!$A$6:$A$263, 0), MATCH(A$49, Console!$A$6:$E$6, 0)), INDIRECT("'"&amp;A$49&amp;" - NRPY'!$A:$A"), IFERROR("&lt;="&amp;IF(INDEX(Console!$A$6:$E$14, MATCH($A31, Console!$A$6:$A$263, 0)+1, MATCH(A$49, Console!$A$6:$E$6, 0))=0, NA(), INDEX(Console!$A$6:$E$14, MATCH($A31, Console!$A$6:$A$263, 0)+1, MATCH(A$49, Console!$A$6:$E$6, 0))),"&gt;0"))</f>
        <v>0</v>
      </c>
    </row>
    <row r="60" spans="1:32" x14ac:dyDescent="0.25">
      <c r="A60" s="20">
        <f>Console!A16</f>
        <v>0</v>
      </c>
      <c r="B60" s="8">
        <f>Console!E16</f>
        <v>0</v>
      </c>
      <c r="C60" s="5">
        <f ca="1">SUMIFS(INDIRECT("'"&amp;A$49&amp;" - NRPY'!$G:$G"), INDIRECT("'"&amp;A$49&amp;" - NRPY'!$A:$A"), "&gt;"&amp;INDEX(Console!$A$6:$E$14, MATCH($A60, Console!$A$6:$A$263, 0), MATCH(A$49, Console!$A$6:$E$6, 0)), INDIRECT("'"&amp;A$49&amp;" - NRPY'!$A:$A"), IFERROR("&lt;="&amp;IF(INDEX(Console!$A$6:$E$14, MATCH($A60, Console!$A$6:$A$263, 0)+1, MATCH(A$49, Console!$A$6:$E$6, 0))=0, NA(), INDEX(Console!$A$6:$E$14, MATCH($A60, Console!$A$6:$A$263, 0)+1, MATCH(A$49, Console!$A$6:$E$6, 0))),"&gt;0"))</f>
        <v>0</v>
      </c>
      <c r="D60" s="5">
        <f ca="1">SUMIFS(INDIRECT("'"&amp;A$49&amp;" - NRPY'!$C:$C"), INDIRECT("'"&amp;A$49&amp;" - NRPY'!$A:$A"), "&gt;"&amp;INDEX(Console!$A$6:$E$14, MATCH($A32, Console!$A$6:$A$263, 0), MATCH(A$49, Console!$A$6:$E$6, 0)), INDIRECT("'"&amp;A$49&amp;" - NRPY'!$A:$A"), IFERROR("&lt;="&amp;IF(INDEX(Console!$A$6:$E$14, MATCH($A32, Console!$A$6:$A$263, 0)+1, MATCH(A$49, Console!$A$6:$E$6, 0))=0, NA(), INDEX(Console!$A$6:$E$14, MATCH($A32, Console!$A$6:$A$263, 0)+1, MATCH(A$49, Console!$A$6:$E$6, 0))),"&gt;0"))</f>
        <v>0</v>
      </c>
      <c r="E60" s="5">
        <f t="shared" ca="1" si="23"/>
        <v>0</v>
      </c>
      <c r="F60">
        <f ca="1">IF(E60&lt;Console!E$21, Console!E$20, MAX((Console!E$22-E60)/1000*Console!E$23, 0))</f>
        <v>19000</v>
      </c>
      <c r="G60">
        <f ca="1">IF(E60&gt;Console!E$31, MIN((E60-Console!E$31)*Console!E$33/1000, Console!E$32), 0)+IF(E60&gt;Console!E$36, MIN((E60-Console!E$36)*Console!E$38/1000, Console!E$37), 0)</f>
        <v>0</v>
      </c>
      <c r="H60" s="5">
        <f t="shared" ca="1" si="24"/>
        <v>0</v>
      </c>
      <c r="I60" s="18">
        <f ca="1">IF(E60&gt;Console!E$26, IF(E60&lt;Console!E$27, (E60-Console!E$26)*Console!E$28/1000, (Console!E$27-Console!E$26)*Console!E$28/1000), 0)</f>
        <v>0</v>
      </c>
      <c r="J60" s="5">
        <f t="shared" ca="1" si="25"/>
        <v>0</v>
      </c>
      <c r="K60" s="5">
        <f t="shared" ca="1" si="26"/>
        <v>0</v>
      </c>
      <c r="L60" s="5">
        <f t="shared" ca="1" si="27"/>
        <v>0</v>
      </c>
      <c r="M60" s="5">
        <f t="shared" ca="1" si="27"/>
        <v>0</v>
      </c>
      <c r="N60" s="5">
        <f t="shared" ca="1" si="27"/>
        <v>0</v>
      </c>
      <c r="O60" s="5">
        <f t="shared" ca="1" si="27"/>
        <v>0</v>
      </c>
      <c r="P60" s="5">
        <f t="shared" ca="1" si="27"/>
        <v>0</v>
      </c>
      <c r="Q60" s="5">
        <f t="shared" ca="1" si="27"/>
        <v>0</v>
      </c>
      <c r="R60" s="5">
        <f t="shared" ca="1" si="27"/>
        <v>0</v>
      </c>
      <c r="S60" s="5">
        <f t="shared" ca="1" si="27"/>
        <v>0</v>
      </c>
      <c r="T60" s="18">
        <f t="shared" ca="1" si="27"/>
        <v>0</v>
      </c>
      <c r="U60" s="16">
        <f t="shared" ca="1" si="28"/>
        <v>1</v>
      </c>
      <c r="V60" s="16">
        <f t="shared" ca="1" si="29"/>
        <v>0</v>
      </c>
      <c r="W60" s="16">
        <f t="shared" ca="1" si="29"/>
        <v>0</v>
      </c>
      <c r="X60" s="16">
        <f t="shared" ca="1" si="29"/>
        <v>0</v>
      </c>
      <c r="Y60" s="16">
        <f t="shared" ca="1" si="29"/>
        <v>0</v>
      </c>
      <c r="Z60" s="16">
        <f t="shared" ca="1" si="29"/>
        <v>0</v>
      </c>
      <c r="AA60" s="16">
        <f t="shared" ca="1" si="29"/>
        <v>0</v>
      </c>
      <c r="AB60" s="16">
        <f t="shared" ca="1" si="29"/>
        <v>0</v>
      </c>
      <c r="AC60" s="16">
        <f t="shared" ca="1" si="29"/>
        <v>0</v>
      </c>
      <c r="AD60" s="16">
        <f t="shared" ca="1" si="29"/>
        <v>0</v>
      </c>
      <c r="AE60" s="16">
        <f t="shared" ca="1" si="29"/>
        <v>0</v>
      </c>
      <c r="AF60" s="23">
        <f ca="1">SUMIFS(INDIRECT("'"&amp;A$49&amp;" - NRPY'!$O:$O"), INDIRECT("'"&amp;A$49&amp;" - NRPY'!$A:$A"), "&gt;"&amp;INDEX(Console!$A$6:$E$14, MATCH($A32, Console!$A$6:$A$263, 0), MATCH(A$49, Console!$A$6:$E$6, 0)), INDIRECT("'"&amp;A$49&amp;" - NRPY'!$A:$A"), IFERROR("&lt;="&amp;IF(INDEX(Console!$A$6:$E$14, MATCH($A32, Console!$A$6:$A$263, 0)+1, MATCH(A$49, Console!$A$6:$E$6, 0))=0, NA(), INDEX(Console!$A$6:$E$14, MATCH($A32, Console!$A$6:$A$263, 0)+1, MATCH(A$49, Console!$A$6:$E$6, 0))),"&gt;0"))</f>
        <v>0</v>
      </c>
    </row>
    <row r="61" spans="1:32" x14ac:dyDescent="0.25">
      <c r="A61" s="20">
        <f>Console!A17</f>
        <v>0</v>
      </c>
      <c r="B61" s="8">
        <f>Console!E17</f>
        <v>0</v>
      </c>
      <c r="C61" s="5">
        <f ca="1">SUMIFS(INDIRECT("'"&amp;A$49&amp;" - NRPY'!$G:$G"), INDIRECT("'"&amp;A$49&amp;" - NRPY'!$A:$A"), "&gt;"&amp;INDEX(Console!$A$6:$E$14, MATCH($A61, Console!$A$6:$A$263, 0), MATCH(A$49, Console!$A$6:$E$6, 0)), INDIRECT("'"&amp;A$49&amp;" - NRPY'!$A:$A"), IFERROR("&lt;="&amp;IF(INDEX(Console!$A$6:$E$14, MATCH($A61, Console!$A$6:$A$263, 0)+1, MATCH(A$49, Console!$A$6:$E$6, 0))=0, NA(), INDEX(Console!$A$6:$E$14, MATCH($A61, Console!$A$6:$A$263, 0)+1, MATCH(A$49, Console!$A$6:$E$6, 0))),"&gt;0"))</f>
        <v>0</v>
      </c>
      <c r="D61" s="5">
        <f ca="1">SUMIFS(INDIRECT("'"&amp;A$49&amp;" - NRPY'!$C:$C"), INDIRECT("'"&amp;A$49&amp;" - NRPY'!$A:$A"), "&gt;"&amp;INDEX(Console!$A$6:$E$14, MATCH($A33, Console!$A$6:$A$263, 0), MATCH(A$49, Console!$A$6:$E$6, 0)), INDIRECT("'"&amp;A$49&amp;" - NRPY'!$A:$A"), IFERROR("&lt;="&amp;IF(INDEX(Console!$A$6:$E$14, MATCH($A33, Console!$A$6:$A$263, 0)+1, MATCH(A$49, Console!$A$6:$E$6, 0))=0, NA(), INDEX(Console!$A$6:$E$14, MATCH($A33, Console!$A$6:$A$263, 0)+1, MATCH(A$49, Console!$A$6:$E$6, 0))),"&gt;0"))</f>
        <v>0</v>
      </c>
      <c r="E61" s="5">
        <f t="shared" ca="1" si="23"/>
        <v>0</v>
      </c>
      <c r="F61">
        <f ca="1">IF(E61&lt;Console!E$21, Console!E$20, MAX((Console!E$22-E61)/1000*Console!E$23, 0))</f>
        <v>19000</v>
      </c>
      <c r="G61">
        <f ca="1">IF(E61&gt;Console!E$31, MIN((E61-Console!E$31)*Console!E$33/1000, Console!E$32), 0)+IF(E61&gt;Console!E$36, MIN((E61-Console!E$36)*Console!E$38/1000, Console!E$37), 0)</f>
        <v>0</v>
      </c>
      <c r="H61" s="5">
        <f t="shared" ca="1" si="24"/>
        <v>0</v>
      </c>
      <c r="I61" s="18">
        <f ca="1">IF(E61&gt;Console!E$26, IF(E61&lt;Console!E$27, (E61-Console!E$26)*Console!E$28/1000, (Console!E$27-Console!E$26)*Console!E$28/1000), 0)</f>
        <v>0</v>
      </c>
      <c r="J61" s="5">
        <f t="shared" ca="1" si="25"/>
        <v>0</v>
      </c>
      <c r="K61" s="5">
        <f t="shared" ca="1" si="26"/>
        <v>0</v>
      </c>
      <c r="L61" s="5">
        <f t="shared" ca="1" si="27"/>
        <v>0</v>
      </c>
      <c r="M61" s="5">
        <f t="shared" ca="1" si="27"/>
        <v>0</v>
      </c>
      <c r="N61" s="5">
        <f t="shared" ca="1" si="27"/>
        <v>0</v>
      </c>
      <c r="O61" s="5">
        <f t="shared" ca="1" si="27"/>
        <v>0</v>
      </c>
      <c r="P61" s="5">
        <f t="shared" ca="1" si="27"/>
        <v>0</v>
      </c>
      <c r="Q61" s="5">
        <f t="shared" ca="1" si="27"/>
        <v>0</v>
      </c>
      <c r="R61" s="5">
        <f t="shared" ca="1" si="27"/>
        <v>0</v>
      </c>
      <c r="S61" s="5">
        <f t="shared" ca="1" si="27"/>
        <v>0</v>
      </c>
      <c r="T61" s="18">
        <f t="shared" ca="1" si="27"/>
        <v>0</v>
      </c>
      <c r="U61" s="16">
        <f t="shared" ca="1" si="28"/>
        <v>1</v>
      </c>
      <c r="V61" s="16">
        <f t="shared" ca="1" si="29"/>
        <v>0</v>
      </c>
      <c r="W61" s="16">
        <f t="shared" ca="1" si="29"/>
        <v>0</v>
      </c>
      <c r="X61" s="16">
        <f t="shared" ca="1" si="29"/>
        <v>0</v>
      </c>
      <c r="Y61" s="16">
        <f t="shared" ca="1" si="29"/>
        <v>0</v>
      </c>
      <c r="Z61" s="16">
        <f t="shared" ca="1" si="29"/>
        <v>0</v>
      </c>
      <c r="AA61" s="16">
        <f t="shared" ca="1" si="29"/>
        <v>0</v>
      </c>
      <c r="AB61" s="16">
        <f t="shared" ca="1" si="29"/>
        <v>0</v>
      </c>
      <c r="AC61" s="16">
        <f t="shared" ca="1" si="29"/>
        <v>0</v>
      </c>
      <c r="AD61" s="16">
        <f t="shared" ca="1" si="29"/>
        <v>0</v>
      </c>
      <c r="AE61" s="16">
        <f t="shared" ca="1" si="29"/>
        <v>0</v>
      </c>
      <c r="AF61" s="23">
        <f ca="1">SUMIFS(INDIRECT("'"&amp;A$49&amp;" - NRPY'!$O:$O"), INDIRECT("'"&amp;A$49&amp;" - NRPY'!$A:$A"), "&gt;"&amp;INDEX(Console!$A$6:$E$14, MATCH($A33, Console!$A$6:$A$263, 0), MATCH(A$49, Console!$A$6:$E$6, 0)), INDIRECT("'"&amp;A$49&amp;" - NRPY'!$A:$A"), IFERROR("&lt;="&amp;IF(INDEX(Console!$A$6:$E$14, MATCH($A33, Console!$A$6:$A$263, 0)+1, MATCH(A$49, Console!$A$6:$E$6, 0))=0, NA(), INDEX(Console!$A$6:$E$14, MATCH($A33, Console!$A$6:$A$263, 0)+1, MATCH(A$49, Console!$A$6:$E$6, 0))),"&gt;0"))</f>
        <v>0</v>
      </c>
    </row>
    <row r="62" spans="1:32" x14ac:dyDescent="0.25">
      <c r="A62" s="2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39997558519241921"/>
  </sheetPr>
  <dimension ref="A1:AF40"/>
  <sheetViews>
    <sheetView showGridLines="0" zoomScaleNormal="100" workbookViewId="0"/>
  </sheetViews>
  <sheetFormatPr defaultColWidth="8.7109375" defaultRowHeight="15" x14ac:dyDescent="0.25"/>
  <cols>
    <col min="1" max="1" width="22.7109375" bestFit="1" customWidth="1"/>
    <col min="2" max="2" width="12.7109375" bestFit="1" customWidth="1"/>
    <col min="3" max="3" width="11.7109375" bestFit="1" customWidth="1"/>
    <col min="4" max="4" width="12.140625" bestFit="1" customWidth="1"/>
    <col min="5" max="5" width="14.140625" customWidth="1"/>
    <col min="6" max="6" width="13" customWidth="1"/>
    <col min="7" max="7" width="13.42578125" customWidth="1"/>
    <col min="8" max="8" width="13" customWidth="1"/>
    <col min="9" max="9" width="16.140625" customWidth="1"/>
    <col min="10" max="10" width="13.28515625" customWidth="1"/>
    <col min="11" max="11" width="10.42578125" customWidth="1"/>
    <col min="12" max="12" width="13.7109375" customWidth="1"/>
    <col min="13" max="13" width="11" customWidth="1"/>
    <col min="14" max="14" width="27.28515625" customWidth="1"/>
    <col min="15" max="15" width="15.140625" customWidth="1"/>
    <col min="16" max="16" width="13.42578125" customWidth="1"/>
    <col min="17" max="17" width="15.7109375" customWidth="1"/>
    <col min="18" max="18" width="14" customWidth="1"/>
    <col min="19" max="20" width="12.42578125" customWidth="1"/>
    <col min="21" max="21" width="13.7109375" customWidth="1"/>
    <col min="22" max="22" width="10.7109375" bestFit="1" customWidth="1"/>
    <col min="23" max="24" width="8.7109375" customWidth="1"/>
    <col min="26" max="26" width="10.7109375" bestFit="1" customWidth="1"/>
  </cols>
  <sheetData>
    <row r="1" spans="1:32" s="15" customFormat="1" ht="127.5" x14ac:dyDescent="0.25">
      <c r="A1" s="31" t="s">
        <v>353</v>
      </c>
      <c r="B1" s="38" t="s">
        <v>381</v>
      </c>
      <c r="C1" s="38" t="s">
        <v>382</v>
      </c>
      <c r="D1" s="38" t="s">
        <v>383</v>
      </c>
      <c r="E1" s="38" t="s">
        <v>384</v>
      </c>
      <c r="F1" s="38" t="s">
        <v>385</v>
      </c>
      <c r="G1" s="38" t="s">
        <v>386</v>
      </c>
      <c r="H1" s="38" t="s">
        <v>387</v>
      </c>
      <c r="I1" s="38" t="s">
        <v>388</v>
      </c>
      <c r="J1" s="39" t="s">
        <v>378</v>
      </c>
      <c r="K1" s="39" t="s">
        <v>378</v>
      </c>
      <c r="L1" s="39" t="s">
        <v>378</v>
      </c>
      <c r="M1" s="39" t="s">
        <v>378</v>
      </c>
      <c r="N1" s="38"/>
      <c r="O1" s="34" t="s">
        <v>389</v>
      </c>
      <c r="P1" s="34" t="s">
        <v>390</v>
      </c>
      <c r="Q1" s="34" t="s">
        <v>391</v>
      </c>
      <c r="R1" s="34" t="s">
        <v>392</v>
      </c>
      <c r="S1" s="34" t="s">
        <v>393</v>
      </c>
      <c r="T1" s="34" t="s">
        <v>394</v>
      </c>
      <c r="U1" s="34" t="s">
        <v>395</v>
      </c>
      <c r="V1" s="39" t="s">
        <v>379</v>
      </c>
      <c r="W1" s="39" t="s">
        <v>379</v>
      </c>
      <c r="X1" s="39" t="s">
        <v>379</v>
      </c>
      <c r="Y1" s="39" t="s">
        <v>379</v>
      </c>
      <c r="Z1" s="38" t="s">
        <v>400</v>
      </c>
      <c r="AB1"/>
      <c r="AC1"/>
      <c r="AD1"/>
      <c r="AE1"/>
      <c r="AF1"/>
    </row>
    <row r="2" spans="1:32" x14ac:dyDescent="0.25">
      <c r="A2" s="29"/>
      <c r="B2" s="33"/>
      <c r="C2" s="33"/>
      <c r="D2" s="33"/>
      <c r="E2" s="33"/>
      <c r="F2" s="33"/>
      <c r="G2" s="33"/>
      <c r="H2" s="33"/>
      <c r="I2" s="33"/>
      <c r="J2" s="33"/>
      <c r="K2" s="33"/>
      <c r="L2" s="33"/>
      <c r="M2" s="33"/>
      <c r="N2" s="33"/>
      <c r="O2" s="33"/>
      <c r="P2" s="33"/>
      <c r="Q2" s="33"/>
      <c r="R2" s="33"/>
      <c r="S2" s="33"/>
      <c r="T2" s="33"/>
      <c r="U2" s="33"/>
      <c r="V2" s="33"/>
      <c r="W2" s="33"/>
      <c r="X2" s="33"/>
      <c r="Y2" s="33"/>
    </row>
    <row r="3" spans="1:32" x14ac:dyDescent="0.25">
      <c r="A3" s="32" t="s">
        <v>356</v>
      </c>
      <c r="B3" s="32">
        <v>1</v>
      </c>
      <c r="C3" s="32">
        <f t="shared" ref="C3:M3" si="0">B3+1</f>
        <v>2</v>
      </c>
      <c r="D3" s="32">
        <f t="shared" si="0"/>
        <v>3</v>
      </c>
      <c r="E3" s="32">
        <f t="shared" si="0"/>
        <v>4</v>
      </c>
      <c r="F3" s="32">
        <f t="shared" si="0"/>
        <v>5</v>
      </c>
      <c r="G3" s="32">
        <f t="shared" si="0"/>
        <v>6</v>
      </c>
      <c r="H3" s="32">
        <f t="shared" si="0"/>
        <v>7</v>
      </c>
      <c r="I3" s="32">
        <f t="shared" si="0"/>
        <v>8</v>
      </c>
      <c r="J3" s="32">
        <f t="shared" si="0"/>
        <v>9</v>
      </c>
      <c r="K3" s="32">
        <f t="shared" si="0"/>
        <v>10</v>
      </c>
      <c r="L3" s="32">
        <f t="shared" si="0"/>
        <v>11</v>
      </c>
      <c r="M3" s="32">
        <f t="shared" si="0"/>
        <v>12</v>
      </c>
      <c r="N3" s="32"/>
      <c r="O3" s="32">
        <f>M3+1</f>
        <v>13</v>
      </c>
      <c r="P3" s="32">
        <f t="shared" ref="P3:Z3" si="1">O3+1</f>
        <v>14</v>
      </c>
      <c r="Q3" s="32">
        <f t="shared" si="1"/>
        <v>15</v>
      </c>
      <c r="R3" s="32">
        <f t="shared" si="1"/>
        <v>16</v>
      </c>
      <c r="S3" s="32">
        <f t="shared" si="1"/>
        <v>17</v>
      </c>
      <c r="T3" s="32">
        <f t="shared" si="1"/>
        <v>18</v>
      </c>
      <c r="U3" s="32">
        <f t="shared" si="1"/>
        <v>19</v>
      </c>
      <c r="V3" s="32">
        <f t="shared" si="1"/>
        <v>20</v>
      </c>
      <c r="W3" s="32">
        <f t="shared" si="1"/>
        <v>21</v>
      </c>
      <c r="X3" s="32">
        <f t="shared" si="1"/>
        <v>22</v>
      </c>
      <c r="Y3" s="32">
        <f t="shared" si="1"/>
        <v>23</v>
      </c>
      <c r="Z3" s="32">
        <f t="shared" si="1"/>
        <v>24</v>
      </c>
    </row>
    <row r="5" spans="1:32" x14ac:dyDescent="0.25">
      <c r="C5" t="s">
        <v>403</v>
      </c>
      <c r="O5" t="s">
        <v>402</v>
      </c>
    </row>
    <row r="6" spans="1:32" ht="45" x14ac:dyDescent="0.25">
      <c r="A6" s="27" t="s">
        <v>380</v>
      </c>
      <c r="B6" s="27" t="s">
        <v>107</v>
      </c>
      <c r="C6" s="37">
        <f>A7</f>
        <v>0.03</v>
      </c>
      <c r="D6" s="37">
        <f>A8</f>
        <v>0.05</v>
      </c>
      <c r="E6" s="37">
        <f>A9</f>
        <v>5.5E-2</v>
      </c>
      <c r="F6" s="37">
        <f>A10</f>
        <v>0.06</v>
      </c>
      <c r="G6" s="37">
        <f>A11</f>
        <v>6.5000000000000002E-2</v>
      </c>
      <c r="H6" s="37">
        <f>A12</f>
        <v>6.9000000000000006E-2</v>
      </c>
      <c r="I6" s="37">
        <f>A13</f>
        <v>6.9900000000000004E-2</v>
      </c>
      <c r="J6" s="37">
        <f>A14</f>
        <v>0</v>
      </c>
      <c r="K6" s="37">
        <f>A15</f>
        <v>0</v>
      </c>
      <c r="L6" s="37">
        <f>A16</f>
        <v>0</v>
      </c>
      <c r="M6" s="37">
        <f>A17</f>
        <v>0</v>
      </c>
      <c r="N6" s="48"/>
      <c r="O6" s="37">
        <f>C6</f>
        <v>0.03</v>
      </c>
      <c r="P6" s="37">
        <f t="shared" ref="P6:X6" si="2">D6</f>
        <v>0.05</v>
      </c>
      <c r="Q6" s="37">
        <f t="shared" si="2"/>
        <v>5.5E-2</v>
      </c>
      <c r="R6" s="37">
        <f t="shared" si="2"/>
        <v>0.06</v>
      </c>
      <c r="S6" s="37">
        <f t="shared" si="2"/>
        <v>6.5000000000000002E-2</v>
      </c>
      <c r="T6" s="37">
        <f t="shared" si="2"/>
        <v>6.9000000000000006E-2</v>
      </c>
      <c r="U6" s="37">
        <f t="shared" si="2"/>
        <v>6.9900000000000004E-2</v>
      </c>
      <c r="V6" s="37">
        <f t="shared" si="2"/>
        <v>0</v>
      </c>
      <c r="W6" s="37">
        <f t="shared" si="2"/>
        <v>0</v>
      </c>
      <c r="X6" s="37">
        <f t="shared" si="2"/>
        <v>0</v>
      </c>
      <c r="Y6" s="37">
        <f>M6</f>
        <v>0</v>
      </c>
      <c r="Z6" s="27" t="s">
        <v>270</v>
      </c>
    </row>
    <row r="7" spans="1:32" x14ac:dyDescent="0.25">
      <c r="A7" s="20">
        <f>Console!A7</f>
        <v>0.03</v>
      </c>
      <c r="B7" s="5">
        <f ca="1">PIT!AF9+PIT!AF23+PIT!AF37+PIT!AF51+'PIT - NRPY'!AF9+'PIT - NRPY'!AF23+'PIT - NRPY'!AF37+'PIT - NRPY'!AF51</f>
        <v>263555</v>
      </c>
      <c r="C7">
        <f ca="1">IFERROR((PIT!$AF9*PIT!U9+PIT!$AF23*PIT!U23+PIT!$AF37*PIT!U37+PIT!$AF51*PIT!U51+'PIT - NRPY'!$AF9*'PIT - NRPY'!U9+'PIT - NRPY'!$AF23*'PIT - NRPY'!U23+'PIT - NRPY'!$AF37*'PIT - NRPY'!U37+'PIT - NRPY'!$AF51*'PIT - NRPY'!U51)/$B7, 0)</f>
        <v>1</v>
      </c>
      <c r="D7">
        <f ca="1">IFERROR((PIT!$AF9*PIT!V9+PIT!$AF23*PIT!V23+PIT!$AF37*PIT!V37+PIT!$AF51*PIT!V51+'PIT - NRPY'!$AF9*'PIT - NRPY'!V9+'PIT - NRPY'!$AF23*'PIT - NRPY'!V23+'PIT - NRPY'!$AF37*'PIT - NRPY'!V37+'PIT - NRPY'!$AF51*'PIT - NRPY'!V51)/$B7, 0)</f>
        <v>0</v>
      </c>
      <c r="E7">
        <f ca="1">IFERROR((PIT!$AF9*PIT!W9+PIT!$AF23*PIT!W23+PIT!$AF37*PIT!W37+PIT!$AF51*PIT!W51+'PIT - NRPY'!$AF9*'PIT - NRPY'!W9+'PIT - NRPY'!$AF23*'PIT - NRPY'!W23+'PIT - NRPY'!$AF37*'PIT - NRPY'!W37+'PIT - NRPY'!$AF51*'PIT - NRPY'!W51)/$B7, 0)</f>
        <v>0</v>
      </c>
      <c r="F7">
        <f ca="1">IFERROR((PIT!$AF9*PIT!X9+PIT!$AF23*PIT!X23+PIT!$AF37*PIT!X37+PIT!$AF51*PIT!X51+'PIT - NRPY'!$AF9*'PIT - NRPY'!X9+'PIT - NRPY'!$AF23*'PIT - NRPY'!X23+'PIT - NRPY'!$AF37*'PIT - NRPY'!X37+'PIT - NRPY'!$AF51*'PIT - NRPY'!X51)/$B7, 0)</f>
        <v>0</v>
      </c>
      <c r="G7">
        <f ca="1">IFERROR((PIT!$AF9*PIT!Y9+PIT!$AF23*PIT!Y23+PIT!$AF37*PIT!Y37+PIT!$AF51*PIT!Y51+'PIT - NRPY'!$AF9*'PIT - NRPY'!Y9+'PIT - NRPY'!$AF23*'PIT - NRPY'!Y23+'PIT - NRPY'!$AF37*'PIT - NRPY'!Y37+'PIT - NRPY'!$AF51*'PIT - NRPY'!Y51)/$B7, 0)</f>
        <v>0</v>
      </c>
      <c r="H7">
        <f ca="1">IFERROR((PIT!$AF9*PIT!Z9+PIT!$AF23*PIT!Z23+PIT!$AF37*PIT!Z37+PIT!$AF51*PIT!Z51+'PIT - NRPY'!$AF9*'PIT - NRPY'!Z9+'PIT - NRPY'!$AF23*'PIT - NRPY'!Z23+'PIT - NRPY'!$AF37*'PIT - NRPY'!Z37+'PIT - NRPY'!$AF51*'PIT - NRPY'!Z51)/$B7, 0)</f>
        <v>0</v>
      </c>
      <c r="I7">
        <f ca="1">IFERROR((PIT!$AF9*PIT!AA9+PIT!$AF23*PIT!AA23+PIT!$AF37*PIT!AA37+PIT!$AF51*PIT!AA51+'PIT - NRPY'!$AF9*'PIT - NRPY'!AA9+'PIT - NRPY'!$AF23*'PIT - NRPY'!AA23+'PIT - NRPY'!$AF37*'PIT - NRPY'!AA37+'PIT - NRPY'!$AF51*'PIT - NRPY'!AA51)/$B7, 0)</f>
        <v>0</v>
      </c>
      <c r="J7">
        <f ca="1">IFERROR((PIT!$AF9*PIT!AB9+PIT!$AF23*PIT!AB23+PIT!$AF37*PIT!AB37+PIT!$AF51*PIT!AB51+'PIT - NRPY'!$AF9*'PIT - NRPY'!AB9+'PIT - NRPY'!$AF23*'PIT - NRPY'!AB23+'PIT - NRPY'!$AF37*'PIT - NRPY'!AB37+'PIT - NRPY'!$AF51*'PIT - NRPY'!AB51)/$B7, 0)</f>
        <v>0</v>
      </c>
      <c r="K7">
        <f ca="1">IFERROR((PIT!$AF9*PIT!AC9+PIT!$AF23*PIT!AC23+PIT!$AF37*PIT!AC37+PIT!$AF51*PIT!AC51+'PIT - NRPY'!$AF9*'PIT - NRPY'!AC9+'PIT - NRPY'!$AF23*'PIT - NRPY'!AC23+'PIT - NRPY'!$AF37*'PIT - NRPY'!AC37+'PIT - NRPY'!$AF51*'PIT - NRPY'!AC51)/$B7, 0)</f>
        <v>0</v>
      </c>
      <c r="L7">
        <f ca="1">IFERROR((PIT!$AF9*PIT!AD9+PIT!$AF23*PIT!AD23+PIT!$AF37*PIT!AD37+PIT!$AF51*PIT!AD51+'PIT - NRPY'!$AF9*'PIT - NRPY'!AD9+'PIT - NRPY'!$AF23*'PIT - NRPY'!AD23+'PIT - NRPY'!$AF37*'PIT - NRPY'!AD37+'PIT - NRPY'!$AF51*'PIT - NRPY'!AD51)/$B7, 0)</f>
        <v>0</v>
      </c>
      <c r="M7" s="36">
        <f ca="1">IFERROR((PIT!$AF9*PIT!AE9+PIT!$AF23*PIT!AE23+PIT!$AF37*PIT!AE37+PIT!$AF51*PIT!AE51+'PIT - NRPY'!$AF9*'PIT - NRPY'!AE9+'PIT - NRPY'!$AF23*'PIT - NRPY'!AE23+'PIT - NRPY'!$AF37*'PIT - NRPY'!AE37+'PIT - NRPY'!$AF51*'PIT - NRPY'!AE51)/$B7, 0)</f>
        <v>0</v>
      </c>
      <c r="O7" s="45">
        <f t="shared" ref="O7:O17" ca="1" si="3">IFERROR((C7*C$6)/($C7*$C$6+$D7*$D$6+$E7*$E$6+$F7*$F$6+$G7*$G$6+$H7*$H$6+$I7*$I$6+$J7*$J$6+$K7*$K$6+$L7*$L$6+$M7*$M$6), 0)</f>
        <v>1</v>
      </c>
      <c r="P7">
        <f t="shared" ref="P7:P17" ca="1" si="4">IFERROR((D7*D$6)/($C7*$C$6+$D7*$D$6+$E7*$E$6+$F7*$F$6+$G7*$G$6+$H7*$H$6+$I7*$I$6+$J7*$J$6+$K7*$K$6+$L7*$L$6+$M7*$M$6), 0)</f>
        <v>0</v>
      </c>
      <c r="Q7">
        <f t="shared" ref="Q7:Q17" ca="1" si="5">IFERROR((E7*E$6)/($C7*$C$6+$D7*$D$6+$E7*$E$6+$F7*$F$6+$G7*$G$6+$H7*$H$6+$I7*$I$6+$J7*$J$6+$K7*$K$6+$L7*$L$6+$M7*$M$6), 0)</f>
        <v>0</v>
      </c>
      <c r="R7">
        <f t="shared" ref="R7:R17" ca="1" si="6">IFERROR((F7*F$6)/($C7*$C$6+$D7*$D$6+$E7*$E$6+$F7*$F$6+$G7*$G$6+$H7*$H$6+$I7*$I$6+$J7*$J$6+$K7*$K$6+$L7*$L$6+$M7*$M$6), 0)</f>
        <v>0</v>
      </c>
      <c r="S7">
        <f t="shared" ref="S7:S17" ca="1" si="7">IFERROR((G7*G$6)/($C7*$C$6+$D7*$D$6+$E7*$E$6+$F7*$F$6+$G7*$G$6+$H7*$H$6+$I7*$I$6+$J7*$J$6+$K7*$K$6+$L7*$L$6+$M7*$M$6), 0)</f>
        <v>0</v>
      </c>
      <c r="T7">
        <f t="shared" ref="T7:T17" ca="1" si="8">IFERROR((H7*H$6)/($C7*$C$6+$D7*$D$6+$E7*$E$6+$F7*$F$6+$G7*$G$6+$H7*$H$6+$I7*$I$6+$J7*$J$6+$K7*$K$6+$L7*$L$6+$M7*$M$6), 0)</f>
        <v>0</v>
      </c>
      <c r="U7">
        <f t="shared" ref="U7:U17" ca="1" si="9">IFERROR((I7*I$6)/($C7*$C$6+$D7*$D$6+$E7*$E$6+$F7*$F$6+$G7*$G$6+$H7*$H$6+$I7*$I$6+$J7*$J$6+$K7*$K$6+$L7*$L$6+$M7*$M$6), 0)</f>
        <v>0</v>
      </c>
      <c r="V7">
        <f t="shared" ref="V7:V17" ca="1" si="10">IFERROR((J7*J$6)/($C7*$C$6+$D7*$D$6+$E7*$E$6+$F7*$F$6+$G7*$G$6+$H7*$H$6+$I7*$I$6+$J7*$J$6+$K7*$K$6+$L7*$L$6+$M7*$M$6), 0)</f>
        <v>0</v>
      </c>
      <c r="W7">
        <f t="shared" ref="W7:W17" ca="1" si="11">IFERROR((K7*K$6)/($C7*$C$6+$D7*$D$6+$E7*$E$6+$F7*$F$6+$G7*$G$6+$H7*$H$6+$I7*$I$6+$J7*$J$6+$K7*$K$6+$L7*$L$6+$M7*$M$6), 0)</f>
        <v>0</v>
      </c>
      <c r="X7">
        <f t="shared" ref="X7:X17" ca="1" si="12">IFERROR((L7*L$6)/($C7*$C$6+$D7*$D$6+$E7*$E$6+$F7*$F$6+$G7*$G$6+$H7*$H$6+$I7*$I$6+$J7*$J$6+$K7*$K$6+$L7*$L$6+$M7*$M$6), 0)</f>
        <v>0</v>
      </c>
      <c r="Y7">
        <f t="shared" ref="Y7:Y17" ca="1" si="13">IFERROR((M7*M$6)/($C7*$C$6+$D7*$D$6+$E7*$E$6+$F7*$F$6+$G7*$G$6+$H7*$H$6+$I7*$I$6+$J7*$J$6+$K7*$K$6+$L7*$L$6+$M7*$M$6), 0)</f>
        <v>0</v>
      </c>
      <c r="Z7" s="5">
        <f ca="1">PIT!H9+PIT!H23+PIT!H37+PIT!H51+'PIT - NRPY'!H9+'PIT - NRPY'!H23+'PIT - NRPY'!H37+'PIT - NRPY'!H51</f>
        <v>0</v>
      </c>
    </row>
    <row r="8" spans="1:32" x14ac:dyDescent="0.25">
      <c r="A8" s="20">
        <f>Console!A8</f>
        <v>0.05</v>
      </c>
      <c r="B8" s="5">
        <f ca="1">PIT!AF10+PIT!AF24+PIT!AF38+PIT!AF52+'PIT - NRPY'!AF10+'PIT - NRPY'!AF24+'PIT - NRPY'!AF38+'PIT - NRPY'!AF52</f>
        <v>780730308</v>
      </c>
      <c r="C8">
        <f ca="1">IFERROR((PIT!$AF10*PIT!U10+PIT!$AF24*PIT!U24+PIT!$AF38*PIT!U38+PIT!$AF52*PIT!U52+'PIT - NRPY'!$AF10*'PIT - NRPY'!U10+'PIT - NRPY'!$AF24*'PIT - NRPY'!U24+'PIT - NRPY'!$AF38*'PIT - NRPY'!U38+'PIT - NRPY'!$AF52*'PIT - NRPY'!U52)/$B8, 0)</f>
        <v>0.60914928679248548</v>
      </c>
      <c r="D8">
        <f ca="1">IFERROR((PIT!$AF10*PIT!V10+PIT!$AF24*PIT!V24+PIT!$AF38*PIT!V38+PIT!$AF52*PIT!V52+'PIT - NRPY'!$AF10*'PIT - NRPY'!V10+'PIT - NRPY'!$AF24*'PIT - NRPY'!V24+'PIT - NRPY'!$AF38*'PIT - NRPY'!V38+'PIT - NRPY'!$AF52*'PIT - NRPY'!V52)/$B8, 0)</f>
        <v>0.39085071320751463</v>
      </c>
      <c r="E8">
        <f ca="1">IFERROR((PIT!$AF10*PIT!W10+PIT!$AF24*PIT!W24+PIT!$AF38*PIT!W38+PIT!$AF52*PIT!W52+'PIT - NRPY'!$AF10*'PIT - NRPY'!W10+'PIT - NRPY'!$AF24*'PIT - NRPY'!W24+'PIT - NRPY'!$AF38*'PIT - NRPY'!W38+'PIT - NRPY'!$AF52*'PIT - NRPY'!W52)/$B8, 0)</f>
        <v>0</v>
      </c>
      <c r="F8">
        <f ca="1">IFERROR((PIT!$AF10*PIT!X10+PIT!$AF24*PIT!X24+PIT!$AF38*PIT!X38+PIT!$AF52*PIT!X52+'PIT - NRPY'!$AF10*'PIT - NRPY'!X10+'PIT - NRPY'!$AF24*'PIT - NRPY'!X24+'PIT - NRPY'!$AF38*'PIT - NRPY'!X38+'PIT - NRPY'!$AF52*'PIT - NRPY'!X52)/$B8, 0)</f>
        <v>0</v>
      </c>
      <c r="G8">
        <f ca="1">IFERROR((PIT!$AF10*PIT!Y10+PIT!$AF24*PIT!Y24+PIT!$AF38*PIT!Y38+PIT!$AF52*PIT!Y52+'PIT - NRPY'!$AF10*'PIT - NRPY'!Y10+'PIT - NRPY'!$AF24*'PIT - NRPY'!Y24+'PIT - NRPY'!$AF38*'PIT - NRPY'!Y38+'PIT - NRPY'!$AF52*'PIT - NRPY'!Y52)/$B8, 0)</f>
        <v>0</v>
      </c>
      <c r="H8">
        <f ca="1">IFERROR((PIT!$AF10*PIT!Z10+PIT!$AF24*PIT!Z24+PIT!$AF38*PIT!Z38+PIT!$AF52*PIT!Z52+'PIT - NRPY'!$AF10*'PIT - NRPY'!Z10+'PIT - NRPY'!$AF24*'PIT - NRPY'!Z24+'PIT - NRPY'!$AF38*'PIT - NRPY'!Z38+'PIT - NRPY'!$AF52*'PIT - NRPY'!Z52)/$B8, 0)</f>
        <v>0</v>
      </c>
      <c r="I8">
        <f ca="1">IFERROR((PIT!$AF10*PIT!AA10+PIT!$AF24*PIT!AA24+PIT!$AF38*PIT!AA38+PIT!$AF52*PIT!AA52+'PIT - NRPY'!$AF10*'PIT - NRPY'!AA10+'PIT - NRPY'!$AF24*'PIT - NRPY'!AA24+'PIT - NRPY'!$AF38*'PIT - NRPY'!AA38+'PIT - NRPY'!$AF52*'PIT - NRPY'!AA52)/$B8, 0)</f>
        <v>0</v>
      </c>
      <c r="J8">
        <f ca="1">IFERROR((PIT!$AF10*PIT!AB10+PIT!$AF24*PIT!AB24+PIT!$AF38*PIT!AB38+PIT!$AF52*PIT!AB52+'PIT - NRPY'!$AF10*'PIT - NRPY'!AB10+'PIT - NRPY'!$AF24*'PIT - NRPY'!AB24+'PIT - NRPY'!$AF38*'PIT - NRPY'!AB38+'PIT - NRPY'!$AF52*'PIT - NRPY'!AB52)/$B8, 0)</f>
        <v>0</v>
      </c>
      <c r="K8">
        <f ca="1">IFERROR((PIT!$AF10*PIT!AC10+PIT!$AF24*PIT!AC24+PIT!$AF38*PIT!AC38+PIT!$AF52*PIT!AC52+'PIT - NRPY'!$AF10*'PIT - NRPY'!AC10+'PIT - NRPY'!$AF24*'PIT - NRPY'!AC24+'PIT - NRPY'!$AF38*'PIT - NRPY'!AC38+'PIT - NRPY'!$AF52*'PIT - NRPY'!AC52)/$B8, 0)</f>
        <v>0</v>
      </c>
      <c r="L8">
        <f ca="1">IFERROR((PIT!$AF10*PIT!AD10+PIT!$AF24*PIT!AD24+PIT!$AF38*PIT!AD38+PIT!$AF52*PIT!AD52+'PIT - NRPY'!$AF10*'PIT - NRPY'!AD10+'PIT - NRPY'!$AF24*'PIT - NRPY'!AD24+'PIT - NRPY'!$AF38*'PIT - NRPY'!AD38+'PIT - NRPY'!$AF52*'PIT - NRPY'!AD52)/$B8, 0)</f>
        <v>0</v>
      </c>
      <c r="M8" s="36">
        <f ca="1">IFERROR((PIT!$AF10*PIT!AE10+PIT!$AF24*PIT!AE24+PIT!$AF38*PIT!AE38+PIT!$AF52*PIT!AE52+'PIT - NRPY'!$AF10*'PIT - NRPY'!AE10+'PIT - NRPY'!$AF24*'PIT - NRPY'!AE24+'PIT - NRPY'!$AF38*'PIT - NRPY'!AE38+'PIT - NRPY'!$AF52*'PIT - NRPY'!AE52)/$B8, 0)</f>
        <v>0</v>
      </c>
      <c r="O8" s="45">
        <f t="shared" ca="1" si="3"/>
        <v>0.48323430496464054</v>
      </c>
      <c r="P8">
        <f t="shared" ca="1" si="4"/>
        <v>0.51676569503535952</v>
      </c>
      <c r="Q8">
        <f t="shared" ca="1" si="5"/>
        <v>0</v>
      </c>
      <c r="R8">
        <f t="shared" ca="1" si="6"/>
        <v>0</v>
      </c>
      <c r="S8">
        <f t="shared" ca="1" si="7"/>
        <v>0</v>
      </c>
      <c r="T8">
        <f t="shared" ca="1" si="8"/>
        <v>0</v>
      </c>
      <c r="U8">
        <f t="shared" ca="1" si="9"/>
        <v>0</v>
      </c>
      <c r="V8">
        <f t="shared" ca="1" si="10"/>
        <v>0</v>
      </c>
      <c r="W8">
        <f t="shared" ca="1" si="11"/>
        <v>0</v>
      </c>
      <c r="X8">
        <f t="shared" ca="1" si="12"/>
        <v>0</v>
      </c>
      <c r="Y8">
        <f t="shared" ca="1" si="13"/>
        <v>0</v>
      </c>
      <c r="Z8" s="5">
        <f ca="1">PIT!H10+PIT!H24+PIT!H38+PIT!H52+'PIT - NRPY'!H10+'PIT - NRPY'!H24+'PIT - NRPY'!H38+'PIT - NRPY'!H52</f>
        <v>0</v>
      </c>
    </row>
    <row r="9" spans="1:32" x14ac:dyDescent="0.25">
      <c r="A9" s="20">
        <f>Console!A9</f>
        <v>5.5E-2</v>
      </c>
      <c r="B9" s="5">
        <f ca="1">PIT!AF11+PIT!AF25+PIT!AF39+PIT!AF53+'PIT - NRPY'!AF11+'PIT - NRPY'!AF25+'PIT - NRPY'!AF39+'PIT - NRPY'!AF53</f>
        <v>2211422940</v>
      </c>
      <c r="C9">
        <f ca="1">IFERROR((PIT!$AF11*PIT!U11+PIT!$AF25*PIT!U25+PIT!$AF39*PIT!U39+PIT!$AF53*PIT!U53+'PIT - NRPY'!$AF11*'PIT - NRPY'!U11+'PIT - NRPY'!$AF25*'PIT - NRPY'!U25+'PIT - NRPY'!$AF39*'PIT - NRPY'!U39+'PIT - NRPY'!$AF53*'PIT - NRPY'!U53)/$B9, 0)</f>
        <v>5.1053255416379673E-2</v>
      </c>
      <c r="D9">
        <f ca="1">IFERROR((PIT!$AF11*PIT!V11+PIT!$AF25*PIT!V25+PIT!$AF39*PIT!V39+PIT!$AF53*PIT!V53+'PIT - NRPY'!$AF11*'PIT - NRPY'!V11+'PIT - NRPY'!$AF25*'PIT - NRPY'!V25+'PIT - NRPY'!$AF39*'PIT - NRPY'!V39+'PIT - NRPY'!$AF53*'PIT - NRPY'!V53)/$B9, 0)</f>
        <v>0.66459833042951599</v>
      </c>
      <c r="E9">
        <f ca="1">IFERROR((PIT!$AF11*PIT!W11+PIT!$AF25*PIT!W25+PIT!$AF39*PIT!W39+PIT!$AF53*PIT!W53+'PIT - NRPY'!$AF11*'PIT - NRPY'!W11+'PIT - NRPY'!$AF25*'PIT - NRPY'!W25+'PIT - NRPY'!$AF39*'PIT - NRPY'!W39+'PIT - NRPY'!$AF53*'PIT - NRPY'!W53)/$B9, 0)</f>
        <v>0.2843484141541045</v>
      </c>
      <c r="F9">
        <f ca="1">IFERROR((PIT!$AF11*PIT!X11+PIT!$AF25*PIT!X25+PIT!$AF39*PIT!X39+PIT!$AF53*PIT!X53+'PIT - NRPY'!$AF11*'PIT - NRPY'!X11+'PIT - NRPY'!$AF25*'PIT - NRPY'!X25+'PIT - NRPY'!$AF39*'PIT - NRPY'!X39+'PIT - NRPY'!$AF53*'PIT - NRPY'!X53)/$B9, 0)</f>
        <v>0</v>
      </c>
      <c r="G9">
        <f ca="1">IFERROR((PIT!$AF11*PIT!Y11+PIT!$AF25*PIT!Y25+PIT!$AF39*PIT!Y39+PIT!$AF53*PIT!Y53+'PIT - NRPY'!$AF11*'PIT - NRPY'!Y11+'PIT - NRPY'!$AF25*'PIT - NRPY'!Y25+'PIT - NRPY'!$AF39*'PIT - NRPY'!Y39+'PIT - NRPY'!$AF53*'PIT - NRPY'!Y53)/$B9, 0)</f>
        <v>0</v>
      </c>
      <c r="H9">
        <f ca="1">IFERROR((PIT!$AF11*PIT!Z11+PIT!$AF25*PIT!Z25+PIT!$AF39*PIT!Z39+PIT!$AF53*PIT!Z53+'PIT - NRPY'!$AF11*'PIT - NRPY'!Z11+'PIT - NRPY'!$AF25*'PIT - NRPY'!Z25+'PIT - NRPY'!$AF39*'PIT - NRPY'!Z39+'PIT - NRPY'!$AF53*'PIT - NRPY'!Z53)/$B9, 0)</f>
        <v>0</v>
      </c>
      <c r="I9">
        <f ca="1">IFERROR((PIT!$AF11*PIT!AA11+PIT!$AF25*PIT!AA25+PIT!$AF39*PIT!AA39+PIT!$AF53*PIT!AA53+'PIT - NRPY'!$AF11*'PIT - NRPY'!AA11+'PIT - NRPY'!$AF25*'PIT - NRPY'!AA25+'PIT - NRPY'!$AF39*'PIT - NRPY'!AA39+'PIT - NRPY'!$AF53*'PIT - NRPY'!AA53)/$B9, 0)</f>
        <v>0</v>
      </c>
      <c r="J9">
        <f ca="1">IFERROR((PIT!$AF11*PIT!AB11+PIT!$AF25*PIT!AB25+PIT!$AF39*PIT!AB39+PIT!$AF53*PIT!AB53+'PIT - NRPY'!$AF11*'PIT - NRPY'!AB11+'PIT - NRPY'!$AF25*'PIT - NRPY'!AB25+'PIT - NRPY'!$AF39*'PIT - NRPY'!AB39+'PIT - NRPY'!$AF53*'PIT - NRPY'!AB53)/$B9, 0)</f>
        <v>0</v>
      </c>
      <c r="K9">
        <f ca="1">IFERROR((PIT!$AF11*PIT!AC11+PIT!$AF25*PIT!AC25+PIT!$AF39*PIT!AC39+PIT!$AF53*PIT!AC53+'PIT - NRPY'!$AF11*'PIT - NRPY'!AC11+'PIT - NRPY'!$AF25*'PIT - NRPY'!AC25+'PIT - NRPY'!$AF39*'PIT - NRPY'!AC39+'PIT - NRPY'!$AF53*'PIT - NRPY'!AC53)/$B9, 0)</f>
        <v>0</v>
      </c>
      <c r="L9">
        <f ca="1">IFERROR((PIT!$AF11*PIT!AD11+PIT!$AF25*PIT!AD25+PIT!$AF39*PIT!AD39+PIT!$AF53*PIT!AD53+'PIT - NRPY'!$AF11*'PIT - NRPY'!AD11+'PIT - NRPY'!$AF25*'PIT - NRPY'!AD25+'PIT - NRPY'!$AF39*'PIT - NRPY'!AD39+'PIT - NRPY'!$AF53*'PIT - NRPY'!AD53)/$B9, 0)</f>
        <v>0</v>
      </c>
      <c r="M9" s="36">
        <f ca="1">IFERROR((PIT!$AF11*PIT!AE11+PIT!$AF25*PIT!AE25+PIT!$AF39*PIT!AE39+PIT!$AF53*PIT!AE53+'PIT - NRPY'!$AF11*'PIT - NRPY'!AE11+'PIT - NRPY'!$AF25*'PIT - NRPY'!AE25+'PIT - NRPY'!$AF39*'PIT - NRPY'!AE39+'PIT - NRPY'!$AF53*'PIT - NRPY'!AE53)/$B9, 0)</f>
        <v>0</v>
      </c>
      <c r="O9" s="45">
        <f t="shared" ca="1" si="3"/>
        <v>3.0388434338544507E-2</v>
      </c>
      <c r="P9">
        <f t="shared" ca="1" si="4"/>
        <v>0.65931488472342803</v>
      </c>
      <c r="Q9">
        <f t="shared" ca="1" si="5"/>
        <v>0.31029668093802748</v>
      </c>
      <c r="R9">
        <f t="shared" ca="1" si="6"/>
        <v>0</v>
      </c>
      <c r="S9">
        <f t="shared" ca="1" si="7"/>
        <v>0</v>
      </c>
      <c r="T9">
        <f t="shared" ca="1" si="8"/>
        <v>0</v>
      </c>
      <c r="U9">
        <f t="shared" ca="1" si="9"/>
        <v>0</v>
      </c>
      <c r="V9">
        <f t="shared" ca="1" si="10"/>
        <v>0</v>
      </c>
      <c r="W9">
        <f t="shared" ca="1" si="11"/>
        <v>0</v>
      </c>
      <c r="X9">
        <f t="shared" ca="1" si="12"/>
        <v>0</v>
      </c>
      <c r="Y9">
        <f t="shared" ca="1" si="13"/>
        <v>0</v>
      </c>
      <c r="Z9" s="5">
        <f ca="1">PIT!H11+PIT!H25+PIT!H39+PIT!H53+'PIT - NRPY'!H11+'PIT - NRPY'!H25+'PIT - NRPY'!H39+'PIT - NRPY'!H53</f>
        <v>0</v>
      </c>
    </row>
    <row r="10" spans="1:32" x14ac:dyDescent="0.25">
      <c r="A10" s="20">
        <f>Console!A10</f>
        <v>0.06</v>
      </c>
      <c r="B10" s="5">
        <f ca="1">PIT!AF12+PIT!AF26+PIT!AF40+PIT!AF54+'PIT - NRPY'!AF12+'PIT - NRPY'!AF26+'PIT - NRPY'!AF40+'PIT - NRPY'!AF54</f>
        <v>1455283604</v>
      </c>
      <c r="C10">
        <f ca="1">IFERROR((PIT!$AF12*PIT!U12+PIT!$AF26*PIT!U26+PIT!$AF40*PIT!U40+PIT!$AF54*PIT!U54+'PIT - NRPY'!$AF12*'PIT - NRPY'!U12+'PIT - NRPY'!$AF26*'PIT - NRPY'!U26+'PIT - NRPY'!$AF40*'PIT - NRPY'!U40+'PIT - NRPY'!$AF54*'PIT - NRPY'!U54)/$B10, 0)</f>
        <v>0</v>
      </c>
      <c r="D10">
        <f ca="1">IFERROR((PIT!$AF12*PIT!V12+PIT!$AF26*PIT!V26+PIT!$AF40*PIT!V40+PIT!$AF54*PIT!V54+'PIT - NRPY'!$AF12*'PIT - NRPY'!V12+'PIT - NRPY'!$AF26*'PIT - NRPY'!V26+'PIT - NRPY'!$AF40*'PIT - NRPY'!V40+'PIT - NRPY'!$AF54*'PIT - NRPY'!V54)/$B10, 0)</f>
        <v>0.3884560301839553</v>
      </c>
      <c r="E10">
        <f ca="1">IFERROR((PIT!$AF12*PIT!W12+PIT!$AF26*PIT!W26+PIT!$AF40*PIT!W40+PIT!$AF54*PIT!W54+'PIT - NRPY'!$AF12*'PIT - NRPY'!W12+'PIT - NRPY'!$AF26*'PIT - NRPY'!W26+'PIT - NRPY'!$AF40*'PIT - NRPY'!W40+'PIT - NRPY'!$AF54*'PIT - NRPY'!W54)/$B10, 0)</f>
        <v>0.3884560301839553</v>
      </c>
      <c r="F10">
        <f ca="1">IFERROR((PIT!$AF12*PIT!X12+PIT!$AF26*PIT!X26+PIT!$AF40*PIT!X40+PIT!$AF54*PIT!X54+'PIT - NRPY'!$AF12*'PIT - NRPY'!X12+'PIT - NRPY'!$AF26*'PIT - NRPY'!X26+'PIT - NRPY'!$AF40*'PIT - NRPY'!X40+'PIT - NRPY'!$AF54*'PIT - NRPY'!X54)/$B10, 0)</f>
        <v>0.22308793963208934</v>
      </c>
      <c r="G10">
        <f ca="1">IFERROR((PIT!$AF12*PIT!Y12+PIT!$AF26*PIT!Y26+PIT!$AF40*PIT!Y40+PIT!$AF54*PIT!Y54+'PIT - NRPY'!$AF12*'PIT - NRPY'!Y12+'PIT - NRPY'!$AF26*'PIT - NRPY'!Y26+'PIT - NRPY'!$AF40*'PIT - NRPY'!Y40+'PIT - NRPY'!$AF54*'PIT - NRPY'!Y54)/$B10, 0)</f>
        <v>0</v>
      </c>
      <c r="H10">
        <f ca="1">IFERROR((PIT!$AF12*PIT!Z12+PIT!$AF26*PIT!Z26+PIT!$AF40*PIT!Z40+PIT!$AF54*PIT!Z54+'PIT - NRPY'!$AF12*'PIT - NRPY'!Z12+'PIT - NRPY'!$AF26*'PIT - NRPY'!Z26+'PIT - NRPY'!$AF40*'PIT - NRPY'!Z40+'PIT - NRPY'!$AF54*'PIT - NRPY'!Z54)/$B10, 0)</f>
        <v>0</v>
      </c>
      <c r="I10">
        <f ca="1">IFERROR((PIT!$AF12*PIT!AA12+PIT!$AF26*PIT!AA26+PIT!$AF40*PIT!AA40+PIT!$AF54*PIT!AA54+'PIT - NRPY'!$AF12*'PIT - NRPY'!AA12+'PIT - NRPY'!$AF26*'PIT - NRPY'!AA26+'PIT - NRPY'!$AF40*'PIT - NRPY'!AA40+'PIT - NRPY'!$AF54*'PIT - NRPY'!AA54)/$B10, 0)</f>
        <v>0</v>
      </c>
      <c r="J10">
        <f ca="1">IFERROR((PIT!$AF12*PIT!AB12+PIT!$AF26*PIT!AB26+PIT!$AF40*PIT!AB40+PIT!$AF54*PIT!AB54+'PIT - NRPY'!$AF12*'PIT - NRPY'!AB12+'PIT - NRPY'!$AF26*'PIT - NRPY'!AB26+'PIT - NRPY'!$AF40*'PIT - NRPY'!AB40+'PIT - NRPY'!$AF54*'PIT - NRPY'!AB54)/$B10, 0)</f>
        <v>0</v>
      </c>
      <c r="K10">
        <f ca="1">IFERROR((PIT!$AF12*PIT!AC12+PIT!$AF26*PIT!AC26+PIT!$AF40*PIT!AC40+PIT!$AF54*PIT!AC54+'PIT - NRPY'!$AF12*'PIT - NRPY'!AC12+'PIT - NRPY'!$AF26*'PIT - NRPY'!AC26+'PIT - NRPY'!$AF40*'PIT - NRPY'!AC40+'PIT - NRPY'!$AF54*'PIT - NRPY'!AC54)/$B10, 0)</f>
        <v>0</v>
      </c>
      <c r="L10">
        <f ca="1">IFERROR((PIT!$AF12*PIT!AD12+PIT!$AF26*PIT!AD26+PIT!$AF40*PIT!AD40+PIT!$AF54*PIT!AD54+'PIT - NRPY'!$AF12*'PIT - NRPY'!AD12+'PIT - NRPY'!$AF26*'PIT - NRPY'!AD26+'PIT - NRPY'!$AF40*'PIT - NRPY'!AD40+'PIT - NRPY'!$AF54*'PIT - NRPY'!AD54)/$B10, 0)</f>
        <v>0</v>
      </c>
      <c r="M10" s="36">
        <f ca="1">IFERROR((PIT!$AF12*PIT!AE12+PIT!$AF26*PIT!AE26+PIT!$AF40*PIT!AE40+PIT!$AF54*PIT!AE54+'PIT - NRPY'!$AF12*'PIT - NRPY'!AE12+'PIT - NRPY'!$AF26*'PIT - NRPY'!AE26+'PIT - NRPY'!$AF40*'PIT - NRPY'!AE40+'PIT - NRPY'!$AF54*'PIT - NRPY'!AE54)/$B10, 0)</f>
        <v>0</v>
      </c>
      <c r="O10" s="45">
        <f t="shared" ca="1" si="3"/>
        <v>0</v>
      </c>
      <c r="P10">
        <f t="shared" ca="1" si="4"/>
        <v>0.35853182039826353</v>
      </c>
      <c r="Q10">
        <f t="shared" ca="1" si="5"/>
        <v>0.39438500243808988</v>
      </c>
      <c r="R10">
        <f t="shared" ca="1" si="6"/>
        <v>0.24708317716364661</v>
      </c>
      <c r="S10">
        <f t="shared" ca="1" si="7"/>
        <v>0</v>
      </c>
      <c r="T10">
        <f t="shared" ca="1" si="8"/>
        <v>0</v>
      </c>
      <c r="U10">
        <f t="shared" ca="1" si="9"/>
        <v>0</v>
      </c>
      <c r="V10">
        <f t="shared" ca="1" si="10"/>
        <v>0</v>
      </c>
      <c r="W10">
        <f t="shared" ca="1" si="11"/>
        <v>0</v>
      </c>
      <c r="X10">
        <f t="shared" ca="1" si="12"/>
        <v>0</v>
      </c>
      <c r="Y10">
        <f t="shared" ca="1" si="13"/>
        <v>0</v>
      </c>
      <c r="Z10" s="5">
        <f ca="1">PIT!H12+PIT!H26+PIT!H40+PIT!H54+'PIT - NRPY'!H12+'PIT - NRPY'!H26+'PIT - NRPY'!H40+'PIT - NRPY'!H54</f>
        <v>0</v>
      </c>
    </row>
    <row r="11" spans="1:32" x14ac:dyDescent="0.25">
      <c r="A11" s="20">
        <f>Console!A11</f>
        <v>6.5000000000000002E-2</v>
      </c>
      <c r="B11" s="5">
        <f ca="1">PIT!AF13+PIT!AF27+PIT!AF41+PIT!AF55+'PIT - NRPY'!AF13+'PIT - NRPY'!AF27+'PIT - NRPY'!AF41+'PIT - NRPY'!AF55</f>
        <v>539974833</v>
      </c>
      <c r="C11">
        <f ca="1">IFERROR((PIT!$AF13*PIT!U13+PIT!$AF27*PIT!U27+PIT!$AF41*PIT!U41+PIT!$AF55*PIT!U55+'PIT - NRPY'!$AF13*'PIT - NRPY'!U13+'PIT - NRPY'!$AF27*'PIT - NRPY'!U27+'PIT - NRPY'!$AF41*'PIT - NRPY'!U41+'PIT - NRPY'!$AF55*'PIT - NRPY'!U55)/$B11, 0)</f>
        <v>0</v>
      </c>
      <c r="D11">
        <f ca="1">IFERROR((PIT!$AF13*PIT!V13+PIT!$AF27*PIT!V27+PIT!$AF41*PIT!V41+PIT!$AF55*PIT!V55+'PIT - NRPY'!$AF13*'PIT - NRPY'!V13+'PIT - NRPY'!$AF27*'PIT - NRPY'!V27+'PIT - NRPY'!$AF41*'PIT - NRPY'!V41+'PIT - NRPY'!$AF55*'PIT - NRPY'!V55)/$B11, 0)</f>
        <v>0.24075492610435489</v>
      </c>
      <c r="E11">
        <f ca="1">IFERROR((PIT!$AF13*PIT!W13+PIT!$AF27*PIT!W27+PIT!$AF41*PIT!W41+PIT!$AF55*PIT!W55+'PIT - NRPY'!$AF13*'PIT - NRPY'!W13+'PIT - NRPY'!$AF27*'PIT - NRPY'!W27+'PIT - NRPY'!$AF41*'PIT - NRPY'!W41+'PIT - NRPY'!$AF55*'PIT - NRPY'!W55)/$B11, 0)</f>
        <v>0.24075492610435489</v>
      </c>
      <c r="F11">
        <f ca="1">IFERROR((PIT!$AF13*PIT!X13+PIT!$AF27*PIT!X27+PIT!$AF41*PIT!X41+PIT!$AF55*PIT!X55+'PIT - NRPY'!$AF13*'PIT - NRPY'!X13+'PIT - NRPY'!$AF27*'PIT - NRPY'!X27+'PIT - NRPY'!$AF41*'PIT - NRPY'!X41+'PIT - NRPY'!$AF55*'PIT - NRPY'!X55)/$B11, 0)</f>
        <v>0.4782425405582868</v>
      </c>
      <c r="G11">
        <f ca="1">IFERROR((PIT!$AF13*PIT!Y13+PIT!$AF27*PIT!Y27+PIT!$AF41*PIT!Y41+PIT!$AF55*PIT!Y55+'PIT - NRPY'!$AF13*'PIT - NRPY'!Y13+'PIT - NRPY'!$AF27*'PIT - NRPY'!Y27+'PIT - NRPY'!$AF41*'PIT - NRPY'!Y41+'PIT - NRPY'!$AF55*'PIT - NRPY'!Y55)/$B11, 0)</f>
        <v>4.0247607233003371E-2</v>
      </c>
      <c r="H11">
        <f ca="1">IFERROR((PIT!$AF13*PIT!Z13+PIT!$AF27*PIT!Z27+PIT!$AF41*PIT!Z41+PIT!$AF55*PIT!Z55+'PIT - NRPY'!$AF13*'PIT - NRPY'!Z13+'PIT - NRPY'!$AF27*'PIT - NRPY'!Z27+'PIT - NRPY'!$AF41*'PIT - NRPY'!Z41+'PIT - NRPY'!$AF55*'PIT - NRPY'!Z55)/$B11, 0)</f>
        <v>0</v>
      </c>
      <c r="I11">
        <f ca="1">IFERROR((PIT!$AF13*PIT!AA13+PIT!$AF27*PIT!AA27+PIT!$AF41*PIT!AA41+PIT!$AF55*PIT!AA55+'PIT - NRPY'!$AF13*'PIT - NRPY'!AA13+'PIT - NRPY'!$AF27*'PIT - NRPY'!AA27+'PIT - NRPY'!$AF41*'PIT - NRPY'!AA41+'PIT - NRPY'!$AF55*'PIT - NRPY'!AA55)/$B11, 0)</f>
        <v>0</v>
      </c>
      <c r="J11">
        <f ca="1">IFERROR((PIT!$AF13*PIT!AB13+PIT!$AF27*PIT!AB27+PIT!$AF41*PIT!AB41+PIT!$AF55*PIT!AB55+'PIT - NRPY'!$AF13*'PIT - NRPY'!AB13+'PIT - NRPY'!$AF27*'PIT - NRPY'!AB27+'PIT - NRPY'!$AF41*'PIT - NRPY'!AB41+'PIT - NRPY'!$AF55*'PIT - NRPY'!AB55)/$B11, 0)</f>
        <v>0</v>
      </c>
      <c r="K11">
        <f ca="1">IFERROR((PIT!$AF13*PIT!AC13+PIT!$AF27*PIT!AC27+PIT!$AF41*PIT!AC41+PIT!$AF55*PIT!AC55+'PIT - NRPY'!$AF13*'PIT - NRPY'!AC13+'PIT - NRPY'!$AF27*'PIT - NRPY'!AC27+'PIT - NRPY'!$AF41*'PIT - NRPY'!AC41+'PIT - NRPY'!$AF55*'PIT - NRPY'!AC55)/$B11, 0)</f>
        <v>0</v>
      </c>
      <c r="L11">
        <f ca="1">IFERROR((PIT!$AF13*PIT!AD13+PIT!$AF27*PIT!AD27+PIT!$AF41*PIT!AD41+PIT!$AF55*PIT!AD55+'PIT - NRPY'!$AF13*'PIT - NRPY'!AD13+'PIT - NRPY'!$AF27*'PIT - NRPY'!AD27+'PIT - NRPY'!$AF41*'PIT - NRPY'!AD41+'PIT - NRPY'!$AF55*'PIT - NRPY'!AD55)/$B11, 0)</f>
        <v>0</v>
      </c>
      <c r="M11" s="36">
        <f ca="1">IFERROR((PIT!$AF13*PIT!AE13+PIT!$AF27*PIT!AE27+PIT!$AF41*PIT!AE41+PIT!$AF55*PIT!AE55+'PIT - NRPY'!$AF13*'PIT - NRPY'!AE13+'PIT - NRPY'!$AF27*'PIT - NRPY'!AE27+'PIT - NRPY'!$AF41*'PIT - NRPY'!AE41+'PIT - NRPY'!$AF55*'PIT - NRPY'!AE55)/$B11, 0)</f>
        <v>0</v>
      </c>
      <c r="O11" s="45">
        <f t="shared" ca="1" si="3"/>
        <v>0</v>
      </c>
      <c r="P11">
        <f t="shared" ca="1" si="4"/>
        <v>0.21271893564741329</v>
      </c>
      <c r="Q11">
        <f t="shared" ca="1" si="5"/>
        <v>0.23399082921215461</v>
      </c>
      <c r="R11">
        <f t="shared" ca="1" si="6"/>
        <v>0.50706124699493815</v>
      </c>
      <c r="S11">
        <f t="shared" ca="1" si="7"/>
        <v>4.6228988145493949E-2</v>
      </c>
      <c r="T11">
        <f t="shared" ca="1" si="8"/>
        <v>0</v>
      </c>
      <c r="U11">
        <f t="shared" ca="1" si="9"/>
        <v>0</v>
      </c>
      <c r="V11">
        <f t="shared" ca="1" si="10"/>
        <v>0</v>
      </c>
      <c r="W11">
        <f t="shared" ca="1" si="11"/>
        <v>0</v>
      </c>
      <c r="X11">
        <f t="shared" ca="1" si="12"/>
        <v>0</v>
      </c>
      <c r="Y11">
        <f t="shared" ca="1" si="13"/>
        <v>0</v>
      </c>
      <c r="Z11" s="5">
        <f ca="1">PIT!H13+PIT!H27+PIT!H41+PIT!H55+'PIT - NRPY'!H13+'PIT - NRPY'!H27+'PIT - NRPY'!H41+'PIT - NRPY'!H55</f>
        <v>10379146.211999992</v>
      </c>
    </row>
    <row r="12" spans="1:32" x14ac:dyDescent="0.25">
      <c r="A12" s="20">
        <f>Console!A12</f>
        <v>6.9000000000000006E-2</v>
      </c>
      <c r="B12" s="5">
        <f ca="1">PIT!AF14+PIT!AF28+PIT!AF42+PIT!AF56+'PIT - NRPY'!AF14+'PIT - NRPY'!AF28+'PIT - NRPY'!AF42+'PIT - NRPY'!AF56</f>
        <v>910459786</v>
      </c>
      <c r="C12">
        <f ca="1">IFERROR((PIT!$AF14*PIT!U14+PIT!$AF28*PIT!U28+PIT!$AF42*PIT!U42+PIT!$AF56*PIT!U56+'PIT - NRPY'!$AF14*'PIT - NRPY'!U14+'PIT - NRPY'!$AF28*'PIT - NRPY'!U28+'PIT - NRPY'!$AF42*'PIT - NRPY'!U42+'PIT - NRPY'!$AF56*'PIT - NRPY'!U56)/$B12, 0)</f>
        <v>0</v>
      </c>
      <c r="D12">
        <f ca="1">IFERROR((PIT!$AF14*PIT!V14+PIT!$AF28*PIT!V28+PIT!$AF42*PIT!V42+PIT!$AF56*PIT!V56+'PIT - NRPY'!$AF14*'PIT - NRPY'!V14+'PIT - NRPY'!$AF28*'PIT - NRPY'!V28+'PIT - NRPY'!$AF42*'PIT - NRPY'!V42+'PIT - NRPY'!$AF56*'PIT - NRPY'!V56)/$B12, 0)</f>
        <v>0.14785761607344039</v>
      </c>
      <c r="E12">
        <f ca="1">IFERROR((PIT!$AF14*PIT!W14+PIT!$AF28*PIT!W28+PIT!$AF42*PIT!W42+PIT!$AF56*PIT!W56+'PIT - NRPY'!$AF14*'PIT - NRPY'!W14+'PIT - NRPY'!$AF28*'PIT - NRPY'!W28+'PIT - NRPY'!$AF42*'PIT - NRPY'!W42+'PIT - NRPY'!$AF56*'PIT - NRPY'!W56)/$B12, 0)</f>
        <v>0.14785761607344039</v>
      </c>
      <c r="F12">
        <f ca="1">IFERROR((PIT!$AF14*PIT!X14+PIT!$AF28*PIT!X28+PIT!$AF42*PIT!X42+PIT!$AF56*PIT!X56+'PIT - NRPY'!$AF14*'PIT - NRPY'!X14+'PIT - NRPY'!$AF28*'PIT - NRPY'!X28+'PIT - NRPY'!$AF42*'PIT - NRPY'!X42+'PIT - NRPY'!$AF56*'PIT - NRPY'!X56)/$B12, 0)</f>
        <v>0.29571523214688078</v>
      </c>
      <c r="G12">
        <f ca="1">IFERROR((PIT!$AF14*PIT!Y14+PIT!$AF28*PIT!Y28+PIT!$AF42*PIT!Y42+PIT!$AF56*PIT!Y56+'PIT - NRPY'!$AF14*'PIT - NRPY'!Y14+'PIT - NRPY'!$AF28*'PIT - NRPY'!Y28+'PIT - NRPY'!$AF42*'PIT - NRPY'!Y42+'PIT - NRPY'!$AF56*'PIT - NRPY'!Y56)/$B12, 0)</f>
        <v>0.14785761607344039</v>
      </c>
      <c r="H12">
        <f ca="1">IFERROR((PIT!$AF14*PIT!Z14+PIT!$AF28*PIT!Z28+PIT!$AF42*PIT!Z42+PIT!$AF56*PIT!Z56+'PIT - NRPY'!$AF14*'PIT - NRPY'!Z14+'PIT - NRPY'!$AF28*'PIT - NRPY'!Z28+'PIT - NRPY'!$AF42*'PIT - NRPY'!Z42+'PIT - NRPY'!$AF56*'PIT - NRPY'!Z56)/$B12, 0)</f>
        <v>0.26071191963279799</v>
      </c>
      <c r="I12">
        <f ca="1">IFERROR((PIT!$AF14*PIT!AA14+PIT!$AF28*PIT!AA28+PIT!$AF42*PIT!AA42+PIT!$AF56*PIT!AA56+'PIT - NRPY'!$AF14*'PIT - NRPY'!AA14+'PIT - NRPY'!$AF28*'PIT - NRPY'!AA28+'PIT - NRPY'!$AF42*'PIT - NRPY'!AA42+'PIT - NRPY'!$AF56*'PIT - NRPY'!AA56)/$B12, 0)</f>
        <v>0</v>
      </c>
      <c r="J12">
        <f ca="1">IFERROR((PIT!$AF14*PIT!AB14+PIT!$AF28*PIT!AB28+PIT!$AF42*PIT!AB42+PIT!$AF56*PIT!AB56+'PIT - NRPY'!$AF14*'PIT - NRPY'!AB14+'PIT - NRPY'!$AF28*'PIT - NRPY'!AB28+'PIT - NRPY'!$AF42*'PIT - NRPY'!AB42+'PIT - NRPY'!$AF56*'PIT - NRPY'!AB56)/$B12, 0)</f>
        <v>0</v>
      </c>
      <c r="K12">
        <f ca="1">IFERROR((PIT!$AF14*PIT!AC14+PIT!$AF28*PIT!AC28+PIT!$AF42*PIT!AC42+PIT!$AF56*PIT!AC56+'PIT - NRPY'!$AF14*'PIT - NRPY'!AC14+'PIT - NRPY'!$AF28*'PIT - NRPY'!AC28+'PIT - NRPY'!$AF42*'PIT - NRPY'!AC42+'PIT - NRPY'!$AF56*'PIT - NRPY'!AC56)/$B12, 0)</f>
        <v>0</v>
      </c>
      <c r="L12">
        <f ca="1">IFERROR((PIT!$AF14*PIT!AD14+PIT!$AF28*PIT!AD28+PIT!$AF42*PIT!AD42+PIT!$AF56*PIT!AD56+'PIT - NRPY'!$AF14*'PIT - NRPY'!AD14+'PIT - NRPY'!$AF28*'PIT - NRPY'!AD28+'PIT - NRPY'!$AF42*'PIT - NRPY'!AD42+'PIT - NRPY'!$AF56*'PIT - NRPY'!AD56)/$B12, 0)</f>
        <v>0</v>
      </c>
      <c r="M12" s="36">
        <f ca="1">IFERROR((PIT!$AF14*PIT!AE14+PIT!$AF28*PIT!AE28+PIT!$AF42*PIT!AE42+PIT!$AF56*PIT!AE56+'PIT - NRPY'!$AF14*'PIT - NRPY'!AE14+'PIT - NRPY'!$AF28*'PIT - NRPY'!AE28+'PIT - NRPY'!$AF42*'PIT - NRPY'!AE42+'PIT - NRPY'!$AF56*'PIT - NRPY'!AE56)/$B12, 0)</f>
        <v>0</v>
      </c>
      <c r="O12" s="45">
        <f t="shared" ca="1" si="3"/>
        <v>0</v>
      </c>
      <c r="P12">
        <f t="shared" ca="1" si="4"/>
        <v>0.12145793053785116</v>
      </c>
      <c r="Q12">
        <f t="shared" ca="1" si="5"/>
        <v>0.13360372359163625</v>
      </c>
      <c r="R12">
        <f t="shared" ca="1" si="6"/>
        <v>0.29149903329084276</v>
      </c>
      <c r="S12">
        <f t="shared" ca="1" si="7"/>
        <v>0.15789530969920651</v>
      </c>
      <c r="T12">
        <f t="shared" ca="1" si="8"/>
        <v>0.29554400288046329</v>
      </c>
      <c r="U12">
        <f t="shared" ca="1" si="9"/>
        <v>0</v>
      </c>
      <c r="V12">
        <f t="shared" ca="1" si="10"/>
        <v>0</v>
      </c>
      <c r="W12">
        <f t="shared" ca="1" si="11"/>
        <v>0</v>
      </c>
      <c r="X12">
        <f t="shared" ca="1" si="12"/>
        <v>0</v>
      </c>
      <c r="Y12">
        <f t="shared" ca="1" si="13"/>
        <v>0</v>
      </c>
      <c r="Z12" s="5">
        <f ca="1">PIT!H14+PIT!H28+PIT!H42+PIT!H56+'PIT - NRPY'!H14+'PIT - NRPY'!H28+'PIT - NRPY'!H42+'PIT - NRPY'!H56</f>
        <v>179007218.25849998</v>
      </c>
    </row>
    <row r="13" spans="1:32" x14ac:dyDescent="0.25">
      <c r="A13" s="20">
        <f>Console!A13</f>
        <v>6.9900000000000004E-2</v>
      </c>
      <c r="B13" s="5">
        <f ca="1">PIT!AF15+PIT!AF29+PIT!AF43+PIT!AF57+'PIT - NRPY'!AF15+'PIT - NRPY'!AF29+'PIT - NRPY'!AF43+'PIT - NRPY'!AF57</f>
        <v>2924376188</v>
      </c>
      <c r="C13">
        <f ca="1">IFERROR((PIT!$AF15*PIT!U15+PIT!$AF29*PIT!U29+PIT!$AF43*PIT!U43+PIT!$AF57*PIT!U57+'PIT - NRPY'!$AF15*'PIT - NRPY'!U15+'PIT - NRPY'!$AF29*'PIT - NRPY'!U29+'PIT - NRPY'!$AF43*'PIT - NRPY'!U43+'PIT - NRPY'!$AF57*'PIT - NRPY'!U57)/$B13, 0)</f>
        <v>0</v>
      </c>
      <c r="D13">
        <f ca="1">IFERROR((PIT!$AF15*PIT!V15+PIT!$AF29*PIT!V29+PIT!$AF43*PIT!V43+PIT!$AF57*PIT!V57+'PIT - NRPY'!$AF15*'PIT - NRPY'!V15+'PIT - NRPY'!$AF29*'PIT - NRPY'!V29+'PIT - NRPY'!$AF43*'PIT - NRPY'!V43+'PIT - NRPY'!$AF57*'PIT - NRPY'!V57)/$B13, 0)</f>
        <v>2.5176718135904677E-2</v>
      </c>
      <c r="E13">
        <f ca="1">IFERROR((PIT!$AF15*PIT!W15+PIT!$AF29*PIT!W29+PIT!$AF43*PIT!W43+PIT!$AF57*PIT!W57+'PIT - NRPY'!$AF15*'PIT - NRPY'!W15+'PIT - NRPY'!$AF29*'PIT - NRPY'!W29+'PIT - NRPY'!$AF43*'PIT - NRPY'!W43+'PIT - NRPY'!$AF57*'PIT - NRPY'!W57)/$B13, 0)</f>
        <v>2.5176718135904677E-2</v>
      </c>
      <c r="F13">
        <f ca="1">IFERROR((PIT!$AF15*PIT!X15+PIT!$AF29*PIT!X29+PIT!$AF43*PIT!X43+PIT!$AF57*PIT!X57+'PIT - NRPY'!$AF15*'PIT - NRPY'!X15+'PIT - NRPY'!$AF29*'PIT - NRPY'!X29+'PIT - NRPY'!$AF43*'PIT - NRPY'!X43+'PIT - NRPY'!$AF57*'PIT - NRPY'!X57)/$B13, 0)</f>
        <v>5.0353436271809354E-2</v>
      </c>
      <c r="G13">
        <f ca="1">IFERROR((PIT!$AF15*PIT!Y15+PIT!$AF29*PIT!Y29+PIT!$AF43*PIT!Y43+PIT!$AF57*PIT!Y57+'PIT - NRPY'!$AF15*'PIT - NRPY'!Y15+'PIT - NRPY'!$AF29*'PIT - NRPY'!Y29+'PIT - NRPY'!$AF43*'PIT - NRPY'!Y43+'PIT - NRPY'!$AF57*'PIT - NRPY'!Y57)/$B13, 0)</f>
        <v>2.5176718135904677E-2</v>
      </c>
      <c r="H13">
        <f ca="1">IFERROR((PIT!$AF15*PIT!Z15+PIT!$AF29*PIT!Z29+PIT!$AF43*PIT!Z43+PIT!$AF57*PIT!Z57+'PIT - NRPY'!$AF15*'PIT - NRPY'!Z15+'PIT - NRPY'!$AF29*'PIT - NRPY'!Z29+'PIT - NRPY'!$AF43*'PIT - NRPY'!Z43+'PIT - NRPY'!$AF57*'PIT - NRPY'!Z57)/$B13, 0)</f>
        <v>0.1258835906795234</v>
      </c>
      <c r="I13">
        <f ca="1">IFERROR((PIT!$AF15*PIT!AA15+PIT!$AF29*PIT!AA29+PIT!$AF43*PIT!AA43+PIT!$AF57*PIT!AA57+'PIT - NRPY'!$AF15*'PIT - NRPY'!AA15+'PIT - NRPY'!$AF29*'PIT - NRPY'!AA29+'PIT - NRPY'!$AF43*'PIT - NRPY'!AA43+'PIT - NRPY'!$AF57*'PIT - NRPY'!AA57)/$B13, 0)</f>
        <v>0.74823281864095348</v>
      </c>
      <c r="J13">
        <f ca="1">IFERROR((PIT!$AF15*PIT!AB15+PIT!$AF29*PIT!AB29+PIT!$AF43*PIT!AB43+PIT!$AF57*PIT!AB57+'PIT - NRPY'!$AF15*'PIT - NRPY'!AB15+'PIT - NRPY'!$AF29*'PIT - NRPY'!AB29+'PIT - NRPY'!$AF43*'PIT - NRPY'!AB43+'PIT - NRPY'!$AF57*'PIT - NRPY'!AB57)/$B13, 0)</f>
        <v>0</v>
      </c>
      <c r="K13">
        <f ca="1">IFERROR((PIT!$AF15*PIT!AC15+PIT!$AF29*PIT!AC29+PIT!$AF43*PIT!AC43+PIT!$AF57*PIT!AC57+'PIT - NRPY'!$AF15*'PIT - NRPY'!AC15+'PIT - NRPY'!$AF29*'PIT - NRPY'!AC29+'PIT - NRPY'!$AF43*'PIT - NRPY'!AC43+'PIT - NRPY'!$AF57*'PIT - NRPY'!AC57)/$B13, 0)</f>
        <v>0</v>
      </c>
      <c r="L13">
        <f ca="1">IFERROR((PIT!$AF15*PIT!AD15+PIT!$AF29*PIT!AD29+PIT!$AF43*PIT!AD43+PIT!$AF57*PIT!AD57+'PIT - NRPY'!$AF15*'PIT - NRPY'!AD15+'PIT - NRPY'!$AF29*'PIT - NRPY'!AD29+'PIT - NRPY'!$AF43*'PIT - NRPY'!AD43+'PIT - NRPY'!$AF57*'PIT - NRPY'!AD57)/$B13, 0)</f>
        <v>0</v>
      </c>
      <c r="M13" s="36">
        <f ca="1">IFERROR((PIT!$AF15*PIT!AE15+PIT!$AF29*PIT!AE29+PIT!$AF43*PIT!AE43+PIT!$AF57*PIT!AE57+'PIT - NRPY'!$AF15*'PIT - NRPY'!AE15+'PIT - NRPY'!$AF29*'PIT - NRPY'!AE29+'PIT - NRPY'!$AF43*'PIT - NRPY'!AE43+'PIT - NRPY'!$AF57*'PIT - NRPY'!AE57)/$B13, 0)</f>
        <v>0</v>
      </c>
      <c r="O13" s="45">
        <f t="shared" ca="1" si="3"/>
        <v>0</v>
      </c>
      <c r="P13">
        <f t="shared" ca="1" si="4"/>
        <v>1.8434032137250509E-2</v>
      </c>
      <c r="Q13">
        <f t="shared" ca="1" si="5"/>
        <v>2.0277435350975561E-2</v>
      </c>
      <c r="R13">
        <f t="shared" ca="1" si="6"/>
        <v>4.4241677129401219E-2</v>
      </c>
      <c r="S13">
        <f t="shared" ca="1" si="7"/>
        <v>2.3964241778425661E-2</v>
      </c>
      <c r="T13">
        <f t="shared" ca="1" si="8"/>
        <v>0.12719482174702851</v>
      </c>
      <c r="U13">
        <f t="shared" ca="1" si="9"/>
        <v>0.76588779185691858</v>
      </c>
      <c r="V13">
        <f t="shared" ca="1" si="10"/>
        <v>0</v>
      </c>
      <c r="W13">
        <f t="shared" ca="1" si="11"/>
        <v>0</v>
      </c>
      <c r="X13">
        <f t="shared" ca="1" si="12"/>
        <v>0</v>
      </c>
      <c r="Y13">
        <f t="shared" ca="1" si="13"/>
        <v>0</v>
      </c>
      <c r="Z13" s="5">
        <f ca="1">PIT!H15+PIT!H29+PIT!H43+PIT!H57+'PIT - NRPY'!H15+'PIT - NRPY'!H29+'PIT - NRPY'!H43+'PIT - NRPY'!H57</f>
        <v>176680530</v>
      </c>
    </row>
    <row r="14" spans="1:32" x14ac:dyDescent="0.25">
      <c r="A14" s="20">
        <f>Console!A14</f>
        <v>0</v>
      </c>
      <c r="B14" s="5">
        <f ca="1">PIT!AF16+PIT!AF30+PIT!AF44+PIT!AF58+'PIT - NRPY'!AF16+'PIT - NRPY'!AF30+'PIT - NRPY'!AF44+'PIT - NRPY'!AF58</f>
        <v>0</v>
      </c>
      <c r="C14">
        <f ca="1">IFERROR((PIT!$AF16*PIT!U16+PIT!$AF30*PIT!U30+PIT!$AF44*PIT!U44+PIT!$AF58*PIT!U58+'PIT - NRPY'!$AF16*'PIT - NRPY'!U16+'PIT - NRPY'!$AF30*'PIT - NRPY'!U30+'PIT - NRPY'!$AF44*'PIT - NRPY'!U44+'PIT - NRPY'!$AF58*'PIT - NRPY'!U58)/$B14, 0)</f>
        <v>0</v>
      </c>
      <c r="D14">
        <f ca="1">IFERROR((PIT!$AF16*PIT!V16+PIT!$AF30*PIT!V30+PIT!$AF44*PIT!V44+PIT!$AF58*PIT!V58+'PIT - NRPY'!$AF16*'PIT - NRPY'!V16+'PIT - NRPY'!$AF30*'PIT - NRPY'!V30+'PIT - NRPY'!$AF44*'PIT - NRPY'!V44+'PIT - NRPY'!$AF58*'PIT - NRPY'!V58)/$B14, 0)</f>
        <v>0</v>
      </c>
      <c r="E14">
        <f ca="1">IFERROR((PIT!$AF16*PIT!W16+PIT!$AF30*PIT!W30+PIT!$AF44*PIT!W44+PIT!$AF58*PIT!W58+'PIT - NRPY'!$AF16*'PIT - NRPY'!W16+'PIT - NRPY'!$AF30*'PIT - NRPY'!W30+'PIT - NRPY'!$AF44*'PIT - NRPY'!W44+'PIT - NRPY'!$AF58*'PIT - NRPY'!W58)/$B14, 0)</f>
        <v>0</v>
      </c>
      <c r="F14">
        <f ca="1">IFERROR((PIT!$AF16*PIT!X16+PIT!$AF30*PIT!X30+PIT!$AF44*PIT!X44+PIT!$AF58*PIT!X58+'PIT - NRPY'!$AF16*'PIT - NRPY'!X16+'PIT - NRPY'!$AF30*'PIT - NRPY'!X30+'PIT - NRPY'!$AF44*'PIT - NRPY'!X44+'PIT - NRPY'!$AF58*'PIT - NRPY'!X58)/$B14, 0)</f>
        <v>0</v>
      </c>
      <c r="G14">
        <f ca="1">IFERROR((PIT!$AF16*PIT!Y16+PIT!$AF30*PIT!Y30+PIT!$AF44*PIT!Y44+PIT!$AF58*PIT!Y58+'PIT - NRPY'!$AF16*'PIT - NRPY'!Y16+'PIT - NRPY'!$AF30*'PIT - NRPY'!Y30+'PIT - NRPY'!$AF44*'PIT - NRPY'!Y44+'PIT - NRPY'!$AF58*'PIT - NRPY'!Y58)/$B14, 0)</f>
        <v>0</v>
      </c>
      <c r="H14">
        <f ca="1">IFERROR((PIT!$AF16*PIT!Z16+PIT!$AF30*PIT!Z30+PIT!$AF44*PIT!Z44+PIT!$AF58*PIT!Z58+'PIT - NRPY'!$AF16*'PIT - NRPY'!Z16+'PIT - NRPY'!$AF30*'PIT - NRPY'!Z30+'PIT - NRPY'!$AF44*'PIT - NRPY'!Z44+'PIT - NRPY'!$AF58*'PIT - NRPY'!Z58)/$B14, 0)</f>
        <v>0</v>
      </c>
      <c r="I14">
        <f ca="1">IFERROR((PIT!$AF16*PIT!AA16+PIT!$AF30*PIT!AA30+PIT!$AF44*PIT!AA44+PIT!$AF58*PIT!AA58+'PIT - NRPY'!$AF16*'PIT - NRPY'!AA16+'PIT - NRPY'!$AF30*'PIT - NRPY'!AA30+'PIT - NRPY'!$AF44*'PIT - NRPY'!AA44+'PIT - NRPY'!$AF58*'PIT - NRPY'!AA58)/$B14, 0)</f>
        <v>0</v>
      </c>
      <c r="J14">
        <f ca="1">IFERROR((PIT!$AF16*PIT!AB16+PIT!$AF30*PIT!AB30+PIT!$AF44*PIT!AB44+PIT!$AF58*PIT!AB58+'PIT - NRPY'!$AF16*'PIT - NRPY'!AB16+'PIT - NRPY'!$AF30*'PIT - NRPY'!AB30+'PIT - NRPY'!$AF44*'PIT - NRPY'!AB44+'PIT - NRPY'!$AF58*'PIT - NRPY'!AB58)/$B14, 0)</f>
        <v>0</v>
      </c>
      <c r="K14">
        <f ca="1">IFERROR((PIT!$AF16*PIT!AC16+PIT!$AF30*PIT!AC30+PIT!$AF44*PIT!AC44+PIT!$AF58*PIT!AC58+'PIT - NRPY'!$AF16*'PIT - NRPY'!AC16+'PIT - NRPY'!$AF30*'PIT - NRPY'!AC30+'PIT - NRPY'!$AF44*'PIT - NRPY'!AC44+'PIT - NRPY'!$AF58*'PIT - NRPY'!AC58)/$B14, 0)</f>
        <v>0</v>
      </c>
      <c r="L14">
        <f ca="1">IFERROR((PIT!$AF16*PIT!AD16+PIT!$AF30*PIT!AD30+PIT!$AF44*PIT!AD44+PIT!$AF58*PIT!AD58+'PIT - NRPY'!$AF16*'PIT - NRPY'!AD16+'PIT - NRPY'!$AF30*'PIT - NRPY'!AD30+'PIT - NRPY'!$AF44*'PIT - NRPY'!AD44+'PIT - NRPY'!$AF58*'PIT - NRPY'!AD58)/$B14, 0)</f>
        <v>0</v>
      </c>
      <c r="M14" s="36">
        <f ca="1">IFERROR((PIT!$AF16*PIT!AE16+PIT!$AF30*PIT!AE30+PIT!$AF44*PIT!AE44+PIT!$AF58*PIT!AE58+'PIT - NRPY'!$AF16*'PIT - NRPY'!AE16+'PIT - NRPY'!$AF30*'PIT - NRPY'!AE30+'PIT - NRPY'!$AF44*'PIT - NRPY'!AE44+'PIT - NRPY'!$AF58*'PIT - NRPY'!AE58)/$B14, 0)</f>
        <v>0</v>
      </c>
      <c r="O14" s="45">
        <f t="shared" ca="1" si="3"/>
        <v>0</v>
      </c>
      <c r="P14">
        <f t="shared" ca="1" si="4"/>
        <v>0</v>
      </c>
      <c r="Q14">
        <f t="shared" ca="1" si="5"/>
        <v>0</v>
      </c>
      <c r="R14">
        <f t="shared" ca="1" si="6"/>
        <v>0</v>
      </c>
      <c r="S14">
        <f t="shared" ca="1" si="7"/>
        <v>0</v>
      </c>
      <c r="T14">
        <f t="shared" ca="1" si="8"/>
        <v>0</v>
      </c>
      <c r="U14">
        <f t="shared" ca="1" si="9"/>
        <v>0</v>
      </c>
      <c r="V14">
        <f t="shared" ca="1" si="10"/>
        <v>0</v>
      </c>
      <c r="W14">
        <f t="shared" ca="1" si="11"/>
        <v>0</v>
      </c>
      <c r="X14">
        <f t="shared" ca="1" si="12"/>
        <v>0</v>
      </c>
      <c r="Y14">
        <f t="shared" ca="1" si="13"/>
        <v>0</v>
      </c>
      <c r="Z14" s="5">
        <f ca="1">PIT!H16+PIT!H30+PIT!H44+PIT!H58+'PIT - NRPY'!H16+'PIT - NRPY'!H30+'PIT - NRPY'!H44+'PIT - NRPY'!H58</f>
        <v>0</v>
      </c>
    </row>
    <row r="15" spans="1:32" x14ac:dyDescent="0.25">
      <c r="A15" s="20">
        <f>Console!A15</f>
        <v>0</v>
      </c>
      <c r="B15" s="5">
        <f ca="1">PIT!AF17+PIT!AF31+PIT!AF45+PIT!AF59+'PIT - NRPY'!AF17+'PIT - NRPY'!AF31+'PIT - NRPY'!AF45+'PIT - NRPY'!AF59</f>
        <v>0</v>
      </c>
      <c r="C15">
        <f ca="1">IFERROR((PIT!$AF17*PIT!U17+PIT!$AF31*PIT!U31+PIT!$AF45*PIT!U45+PIT!$AF59*PIT!U59+'PIT - NRPY'!$AF17*'PIT - NRPY'!U17+'PIT - NRPY'!$AF31*'PIT - NRPY'!U31+'PIT - NRPY'!$AF45*'PIT - NRPY'!U45+'PIT - NRPY'!$AF59*'PIT - NRPY'!U59)/$B15, 0)</f>
        <v>0</v>
      </c>
      <c r="D15">
        <f ca="1">IFERROR((PIT!$AF17*PIT!V17+PIT!$AF31*PIT!V31+PIT!$AF45*PIT!V45+PIT!$AF59*PIT!V59+'PIT - NRPY'!$AF17*'PIT - NRPY'!V17+'PIT - NRPY'!$AF31*'PIT - NRPY'!V31+'PIT - NRPY'!$AF45*'PIT - NRPY'!V45+'PIT - NRPY'!$AF59*'PIT - NRPY'!V59)/$B15, 0)</f>
        <v>0</v>
      </c>
      <c r="E15">
        <f ca="1">IFERROR((PIT!$AF17*PIT!W17+PIT!$AF31*PIT!W31+PIT!$AF45*PIT!W45+PIT!$AF59*PIT!W59+'PIT - NRPY'!$AF17*'PIT - NRPY'!W17+'PIT - NRPY'!$AF31*'PIT - NRPY'!W31+'PIT - NRPY'!$AF45*'PIT - NRPY'!W45+'PIT - NRPY'!$AF59*'PIT - NRPY'!W59)/$B15, 0)</f>
        <v>0</v>
      </c>
      <c r="F15">
        <f ca="1">IFERROR((PIT!$AF17*PIT!X17+PIT!$AF31*PIT!X31+PIT!$AF45*PIT!X45+PIT!$AF59*PIT!X59+'PIT - NRPY'!$AF17*'PIT - NRPY'!X17+'PIT - NRPY'!$AF31*'PIT - NRPY'!X31+'PIT - NRPY'!$AF45*'PIT - NRPY'!X45+'PIT - NRPY'!$AF59*'PIT - NRPY'!X59)/$B15, 0)</f>
        <v>0</v>
      </c>
      <c r="G15">
        <f ca="1">IFERROR((PIT!$AF17*PIT!Y17+PIT!$AF31*PIT!Y31+PIT!$AF45*PIT!Y45+PIT!$AF59*PIT!Y59+'PIT - NRPY'!$AF17*'PIT - NRPY'!Y17+'PIT - NRPY'!$AF31*'PIT - NRPY'!Y31+'PIT - NRPY'!$AF45*'PIT - NRPY'!Y45+'PIT - NRPY'!$AF59*'PIT - NRPY'!Y59)/$B15, 0)</f>
        <v>0</v>
      </c>
      <c r="H15">
        <f ca="1">IFERROR((PIT!$AF17*PIT!Z17+PIT!$AF31*PIT!Z31+PIT!$AF45*PIT!Z45+PIT!$AF59*PIT!Z59+'PIT - NRPY'!$AF17*'PIT - NRPY'!Z17+'PIT - NRPY'!$AF31*'PIT - NRPY'!Z31+'PIT - NRPY'!$AF45*'PIT - NRPY'!Z45+'PIT - NRPY'!$AF59*'PIT - NRPY'!Z59)/$B15, 0)</f>
        <v>0</v>
      </c>
      <c r="I15">
        <f ca="1">IFERROR((PIT!$AF17*PIT!AA17+PIT!$AF31*PIT!AA31+PIT!$AF45*PIT!AA45+PIT!$AF59*PIT!AA59+'PIT - NRPY'!$AF17*'PIT - NRPY'!AA17+'PIT - NRPY'!$AF31*'PIT - NRPY'!AA31+'PIT - NRPY'!$AF45*'PIT - NRPY'!AA45+'PIT - NRPY'!$AF59*'PIT - NRPY'!AA59)/$B15, 0)</f>
        <v>0</v>
      </c>
      <c r="J15">
        <f ca="1">IFERROR((PIT!$AF17*PIT!AB17+PIT!$AF31*PIT!AB31+PIT!$AF45*PIT!AB45+PIT!$AF59*PIT!AB59+'PIT - NRPY'!$AF17*'PIT - NRPY'!AB17+'PIT - NRPY'!$AF31*'PIT - NRPY'!AB31+'PIT - NRPY'!$AF45*'PIT - NRPY'!AB45+'PIT - NRPY'!$AF59*'PIT - NRPY'!AB59)/$B15, 0)</f>
        <v>0</v>
      </c>
      <c r="K15">
        <f ca="1">IFERROR((PIT!$AF17*PIT!AC17+PIT!$AF31*PIT!AC31+PIT!$AF45*PIT!AC45+PIT!$AF59*PIT!AC59+'PIT - NRPY'!$AF17*'PIT - NRPY'!AC17+'PIT - NRPY'!$AF31*'PIT - NRPY'!AC31+'PIT - NRPY'!$AF45*'PIT - NRPY'!AC45+'PIT - NRPY'!$AF59*'PIT - NRPY'!AC59)/$B15, 0)</f>
        <v>0</v>
      </c>
      <c r="L15">
        <f ca="1">IFERROR((PIT!$AF17*PIT!AD17+PIT!$AF31*PIT!AD31+PIT!$AF45*PIT!AD45+PIT!$AF59*PIT!AD59+'PIT - NRPY'!$AF17*'PIT - NRPY'!AD17+'PIT - NRPY'!$AF31*'PIT - NRPY'!AD31+'PIT - NRPY'!$AF45*'PIT - NRPY'!AD45+'PIT - NRPY'!$AF59*'PIT - NRPY'!AD59)/$B15, 0)</f>
        <v>0</v>
      </c>
      <c r="M15" s="36">
        <f ca="1">IFERROR((PIT!$AF17*PIT!AE17+PIT!$AF31*PIT!AE31+PIT!$AF45*PIT!AE45+PIT!$AF59*PIT!AE59+'PIT - NRPY'!$AF17*'PIT - NRPY'!AE17+'PIT - NRPY'!$AF31*'PIT - NRPY'!AE31+'PIT - NRPY'!$AF45*'PIT - NRPY'!AE45+'PIT - NRPY'!$AF59*'PIT - NRPY'!AE59)/$B15, 0)</f>
        <v>0</v>
      </c>
      <c r="O15" s="45">
        <f t="shared" ca="1" si="3"/>
        <v>0</v>
      </c>
      <c r="P15">
        <f t="shared" ca="1" si="4"/>
        <v>0</v>
      </c>
      <c r="Q15">
        <f t="shared" ca="1" si="5"/>
        <v>0</v>
      </c>
      <c r="R15">
        <f t="shared" ca="1" si="6"/>
        <v>0</v>
      </c>
      <c r="S15">
        <f t="shared" ca="1" si="7"/>
        <v>0</v>
      </c>
      <c r="T15">
        <f t="shared" ca="1" si="8"/>
        <v>0</v>
      </c>
      <c r="U15">
        <f t="shared" ca="1" si="9"/>
        <v>0</v>
      </c>
      <c r="V15">
        <f t="shared" ca="1" si="10"/>
        <v>0</v>
      </c>
      <c r="W15">
        <f t="shared" ca="1" si="11"/>
        <v>0</v>
      </c>
      <c r="X15">
        <f t="shared" ca="1" si="12"/>
        <v>0</v>
      </c>
      <c r="Y15">
        <f t="shared" ca="1" si="13"/>
        <v>0</v>
      </c>
      <c r="Z15" s="5">
        <f ca="1">PIT!H17+PIT!H31+PIT!H45+PIT!H59+'PIT - NRPY'!H17+'PIT - NRPY'!H31+'PIT - NRPY'!H45+'PIT - NRPY'!H59</f>
        <v>0</v>
      </c>
    </row>
    <row r="16" spans="1:32" x14ac:dyDescent="0.25">
      <c r="A16" s="20">
        <f>Console!A16</f>
        <v>0</v>
      </c>
      <c r="B16" s="5">
        <f ca="1">PIT!AF18+PIT!AF32+PIT!AF46+PIT!AF60+'PIT - NRPY'!AF18+'PIT - NRPY'!AF32+'PIT - NRPY'!AF46+'PIT - NRPY'!AF60</f>
        <v>0</v>
      </c>
      <c r="C16">
        <f ca="1">IFERROR((PIT!$AF18*PIT!U18+PIT!$AF32*PIT!U32+PIT!$AF46*PIT!U46+PIT!$AF60*PIT!U60+'PIT - NRPY'!$AF18*'PIT - NRPY'!U18+'PIT - NRPY'!$AF32*'PIT - NRPY'!U32+'PIT - NRPY'!$AF46*'PIT - NRPY'!U46+'PIT - NRPY'!$AF60*'PIT - NRPY'!U60)/$B16, 0)</f>
        <v>0</v>
      </c>
      <c r="D16">
        <f ca="1">IFERROR((PIT!$AF18*PIT!V18+PIT!$AF32*PIT!V32+PIT!$AF46*PIT!V46+PIT!$AF60*PIT!V60+'PIT - NRPY'!$AF18*'PIT - NRPY'!V18+'PIT - NRPY'!$AF32*'PIT - NRPY'!V32+'PIT - NRPY'!$AF46*'PIT - NRPY'!V46+'PIT - NRPY'!$AF60*'PIT - NRPY'!V60)/$B16, 0)</f>
        <v>0</v>
      </c>
      <c r="E16">
        <f ca="1">IFERROR((PIT!$AF18*PIT!W18+PIT!$AF32*PIT!W32+PIT!$AF46*PIT!W46+PIT!$AF60*PIT!W60+'PIT - NRPY'!$AF18*'PIT - NRPY'!W18+'PIT - NRPY'!$AF32*'PIT - NRPY'!W32+'PIT - NRPY'!$AF46*'PIT - NRPY'!W46+'PIT - NRPY'!$AF60*'PIT - NRPY'!W60)/$B16, 0)</f>
        <v>0</v>
      </c>
      <c r="F16">
        <f ca="1">IFERROR((PIT!$AF18*PIT!X18+PIT!$AF32*PIT!X32+PIT!$AF46*PIT!X46+PIT!$AF60*PIT!X60+'PIT - NRPY'!$AF18*'PIT - NRPY'!X18+'PIT - NRPY'!$AF32*'PIT - NRPY'!X32+'PIT - NRPY'!$AF46*'PIT - NRPY'!X46+'PIT - NRPY'!$AF60*'PIT - NRPY'!X60)/$B16, 0)</f>
        <v>0</v>
      </c>
      <c r="G16">
        <f ca="1">IFERROR((PIT!$AF18*PIT!Y18+PIT!$AF32*PIT!Y32+PIT!$AF46*PIT!Y46+PIT!$AF60*PIT!Y60+'PIT - NRPY'!$AF18*'PIT - NRPY'!Y18+'PIT - NRPY'!$AF32*'PIT - NRPY'!Y32+'PIT - NRPY'!$AF46*'PIT - NRPY'!Y46+'PIT - NRPY'!$AF60*'PIT - NRPY'!Y60)/$B16, 0)</f>
        <v>0</v>
      </c>
      <c r="H16">
        <f ca="1">IFERROR((PIT!$AF18*PIT!Z18+PIT!$AF32*PIT!Z32+PIT!$AF46*PIT!Z46+PIT!$AF60*PIT!Z60+'PIT - NRPY'!$AF18*'PIT - NRPY'!Z18+'PIT - NRPY'!$AF32*'PIT - NRPY'!Z32+'PIT - NRPY'!$AF46*'PIT - NRPY'!Z46+'PIT - NRPY'!$AF60*'PIT - NRPY'!Z60)/$B16, 0)</f>
        <v>0</v>
      </c>
      <c r="I16">
        <f ca="1">IFERROR((PIT!$AF18*PIT!AA18+PIT!$AF32*PIT!AA32+PIT!$AF46*PIT!AA46+PIT!$AF60*PIT!AA60+'PIT - NRPY'!$AF18*'PIT - NRPY'!AA18+'PIT - NRPY'!$AF32*'PIT - NRPY'!AA32+'PIT - NRPY'!$AF46*'PIT - NRPY'!AA46+'PIT - NRPY'!$AF60*'PIT - NRPY'!AA60)/$B16, 0)</f>
        <v>0</v>
      </c>
      <c r="J16">
        <f ca="1">IFERROR((PIT!$AF18*PIT!AB18+PIT!$AF32*PIT!AB32+PIT!$AF46*PIT!AB46+PIT!$AF60*PIT!AB60+'PIT - NRPY'!$AF18*'PIT - NRPY'!AB18+'PIT - NRPY'!$AF32*'PIT - NRPY'!AB32+'PIT - NRPY'!$AF46*'PIT - NRPY'!AB46+'PIT - NRPY'!$AF60*'PIT - NRPY'!AB60)/$B16, 0)</f>
        <v>0</v>
      </c>
      <c r="K16">
        <f ca="1">IFERROR((PIT!$AF18*PIT!AC18+PIT!$AF32*PIT!AC32+PIT!$AF46*PIT!AC46+PIT!$AF60*PIT!AC60+'PIT - NRPY'!$AF18*'PIT - NRPY'!AC18+'PIT - NRPY'!$AF32*'PIT - NRPY'!AC32+'PIT - NRPY'!$AF46*'PIT - NRPY'!AC46+'PIT - NRPY'!$AF60*'PIT - NRPY'!AC60)/$B16, 0)</f>
        <v>0</v>
      </c>
      <c r="L16">
        <f ca="1">IFERROR((PIT!$AF18*PIT!AD18+PIT!$AF32*PIT!AD32+PIT!$AF46*PIT!AD46+PIT!$AF60*PIT!AD60+'PIT - NRPY'!$AF18*'PIT - NRPY'!AD18+'PIT - NRPY'!$AF32*'PIT - NRPY'!AD32+'PIT - NRPY'!$AF46*'PIT - NRPY'!AD46+'PIT - NRPY'!$AF60*'PIT - NRPY'!AD60)/$B16, 0)</f>
        <v>0</v>
      </c>
      <c r="M16" s="36">
        <f ca="1">IFERROR((PIT!$AF18*PIT!AE18+PIT!$AF32*PIT!AE32+PIT!$AF46*PIT!AE46+PIT!$AF60*PIT!AE60+'PIT - NRPY'!$AF18*'PIT - NRPY'!AE18+'PIT - NRPY'!$AF32*'PIT - NRPY'!AE32+'PIT - NRPY'!$AF46*'PIT - NRPY'!AE46+'PIT - NRPY'!$AF60*'PIT - NRPY'!AE60)/$B16, 0)</f>
        <v>0</v>
      </c>
      <c r="O16" s="45">
        <f t="shared" ca="1" si="3"/>
        <v>0</v>
      </c>
      <c r="P16">
        <f t="shared" ca="1" si="4"/>
        <v>0</v>
      </c>
      <c r="Q16">
        <f t="shared" ca="1" si="5"/>
        <v>0</v>
      </c>
      <c r="R16">
        <f t="shared" ca="1" si="6"/>
        <v>0</v>
      </c>
      <c r="S16">
        <f t="shared" ca="1" si="7"/>
        <v>0</v>
      </c>
      <c r="T16">
        <f t="shared" ca="1" si="8"/>
        <v>0</v>
      </c>
      <c r="U16">
        <f t="shared" ca="1" si="9"/>
        <v>0</v>
      </c>
      <c r="V16">
        <f t="shared" ca="1" si="10"/>
        <v>0</v>
      </c>
      <c r="W16">
        <f t="shared" ca="1" si="11"/>
        <v>0</v>
      </c>
      <c r="X16">
        <f t="shared" ca="1" si="12"/>
        <v>0</v>
      </c>
      <c r="Y16">
        <f t="shared" ca="1" si="13"/>
        <v>0</v>
      </c>
      <c r="Z16" s="5">
        <f ca="1">PIT!H18+PIT!H32+PIT!H46+PIT!H60+'PIT - NRPY'!H18+'PIT - NRPY'!H32+'PIT - NRPY'!H46+'PIT - NRPY'!H60</f>
        <v>0</v>
      </c>
    </row>
    <row r="17" spans="1:26" x14ac:dyDescent="0.25">
      <c r="A17" s="20">
        <f>Console!A17</f>
        <v>0</v>
      </c>
      <c r="B17" s="5">
        <f ca="1">PIT!AF19+PIT!AF33+PIT!AF47+PIT!AF61+'PIT - NRPY'!AF19+'PIT - NRPY'!AF33+'PIT - NRPY'!AF47+'PIT - NRPY'!AF61</f>
        <v>0</v>
      </c>
      <c r="C17">
        <f ca="1">IFERROR((PIT!$AF19*PIT!U19+PIT!$AF33*PIT!U33+PIT!$AF47*PIT!U47+PIT!$AF61*PIT!U61+'PIT - NRPY'!$AF19*'PIT - NRPY'!U19+'PIT - NRPY'!$AF33*'PIT - NRPY'!U33+'PIT - NRPY'!$AF47*'PIT - NRPY'!U47+'PIT - NRPY'!$AF61*'PIT - NRPY'!U61)/$B17, 0)</f>
        <v>0</v>
      </c>
      <c r="D17">
        <f ca="1">IFERROR((PIT!$AF19*PIT!V19+PIT!$AF33*PIT!V33+PIT!$AF47*PIT!V47+PIT!$AF61*PIT!V61+'PIT - NRPY'!$AF19*'PIT - NRPY'!V19+'PIT - NRPY'!$AF33*'PIT - NRPY'!V33+'PIT - NRPY'!$AF47*'PIT - NRPY'!V47+'PIT - NRPY'!$AF61*'PIT - NRPY'!V61)/$B17, 0)</f>
        <v>0</v>
      </c>
      <c r="E17">
        <f ca="1">IFERROR((PIT!$AF19*PIT!W19+PIT!$AF33*PIT!W33+PIT!$AF47*PIT!W47+PIT!$AF61*PIT!W61+'PIT - NRPY'!$AF19*'PIT - NRPY'!W19+'PIT - NRPY'!$AF33*'PIT - NRPY'!W33+'PIT - NRPY'!$AF47*'PIT - NRPY'!W47+'PIT - NRPY'!$AF61*'PIT - NRPY'!W61)/$B17, 0)</f>
        <v>0</v>
      </c>
      <c r="F17">
        <f ca="1">IFERROR((PIT!$AF19*PIT!X19+PIT!$AF33*PIT!X33+PIT!$AF47*PIT!X47+PIT!$AF61*PIT!X61+'PIT - NRPY'!$AF19*'PIT - NRPY'!X19+'PIT - NRPY'!$AF33*'PIT - NRPY'!X33+'PIT - NRPY'!$AF47*'PIT - NRPY'!X47+'PIT - NRPY'!$AF61*'PIT - NRPY'!X61)/$B17, 0)</f>
        <v>0</v>
      </c>
      <c r="G17">
        <f ca="1">IFERROR((PIT!$AF19*PIT!Y19+PIT!$AF33*PIT!Y33+PIT!$AF47*PIT!Y47+PIT!$AF61*PIT!Y61+'PIT - NRPY'!$AF19*'PIT - NRPY'!Y19+'PIT - NRPY'!$AF33*'PIT - NRPY'!Y33+'PIT - NRPY'!$AF47*'PIT - NRPY'!Y47+'PIT - NRPY'!$AF61*'PIT - NRPY'!Y61)/$B17, 0)</f>
        <v>0</v>
      </c>
      <c r="H17">
        <f ca="1">IFERROR((PIT!$AF19*PIT!Z19+PIT!$AF33*PIT!Z33+PIT!$AF47*PIT!Z47+PIT!$AF61*PIT!Z61+'PIT - NRPY'!$AF19*'PIT - NRPY'!Z19+'PIT - NRPY'!$AF33*'PIT - NRPY'!Z33+'PIT - NRPY'!$AF47*'PIT - NRPY'!Z47+'PIT - NRPY'!$AF61*'PIT - NRPY'!Z61)/$B17, 0)</f>
        <v>0</v>
      </c>
      <c r="I17">
        <f ca="1">IFERROR((PIT!$AF19*PIT!AA19+PIT!$AF33*PIT!AA33+PIT!$AF47*PIT!AA47+PIT!$AF61*PIT!AA61+'PIT - NRPY'!$AF19*'PIT - NRPY'!AA19+'PIT - NRPY'!$AF33*'PIT - NRPY'!AA33+'PIT - NRPY'!$AF47*'PIT - NRPY'!AA47+'PIT - NRPY'!$AF61*'PIT - NRPY'!AA61)/$B17, 0)</f>
        <v>0</v>
      </c>
      <c r="J17">
        <f ca="1">IFERROR((PIT!$AF19*PIT!AB19+PIT!$AF33*PIT!AB33+PIT!$AF47*PIT!AB47+PIT!$AF61*PIT!AB61+'PIT - NRPY'!$AF19*'PIT - NRPY'!AB19+'PIT - NRPY'!$AF33*'PIT - NRPY'!AB33+'PIT - NRPY'!$AF47*'PIT - NRPY'!AB47+'PIT - NRPY'!$AF61*'PIT - NRPY'!AB61)/$B17, 0)</f>
        <v>0</v>
      </c>
      <c r="K17">
        <f ca="1">IFERROR((PIT!$AF19*PIT!AC19+PIT!$AF33*PIT!AC33+PIT!$AF47*PIT!AC47+PIT!$AF61*PIT!AC61+'PIT - NRPY'!$AF19*'PIT - NRPY'!AC19+'PIT - NRPY'!$AF33*'PIT - NRPY'!AC33+'PIT - NRPY'!$AF47*'PIT - NRPY'!AC47+'PIT - NRPY'!$AF61*'PIT - NRPY'!AC61)/$B17, 0)</f>
        <v>0</v>
      </c>
      <c r="L17">
        <f ca="1">IFERROR((PIT!$AF19*PIT!AD19+PIT!$AF33*PIT!AD33+PIT!$AF47*PIT!AD47+PIT!$AF61*PIT!AD61+'PIT - NRPY'!$AF19*'PIT - NRPY'!AD19+'PIT - NRPY'!$AF33*'PIT - NRPY'!AD33+'PIT - NRPY'!$AF47*'PIT - NRPY'!AD47+'PIT - NRPY'!$AF61*'PIT - NRPY'!AD61)/$B17, 0)</f>
        <v>0</v>
      </c>
      <c r="M17" s="36">
        <f ca="1">IFERROR((PIT!$AF19*PIT!AE19+PIT!$AF33*PIT!AE33+PIT!$AF47*PIT!AE47+PIT!$AF61*PIT!AE61+'PIT - NRPY'!$AF19*'PIT - NRPY'!AE19+'PIT - NRPY'!$AF33*'PIT - NRPY'!AE33+'PIT - NRPY'!$AF47*'PIT - NRPY'!AE47+'PIT - NRPY'!$AF61*'PIT - NRPY'!AE61)/$B17, 0)</f>
        <v>0</v>
      </c>
      <c r="O17" s="45">
        <f t="shared" ca="1" si="3"/>
        <v>0</v>
      </c>
      <c r="P17">
        <f t="shared" ca="1" si="4"/>
        <v>0</v>
      </c>
      <c r="Q17">
        <f t="shared" ca="1" si="5"/>
        <v>0</v>
      </c>
      <c r="R17">
        <f t="shared" ca="1" si="6"/>
        <v>0</v>
      </c>
      <c r="S17">
        <f t="shared" ca="1" si="7"/>
        <v>0</v>
      </c>
      <c r="T17">
        <f t="shared" ca="1" si="8"/>
        <v>0</v>
      </c>
      <c r="U17">
        <f t="shared" ca="1" si="9"/>
        <v>0</v>
      </c>
      <c r="V17">
        <f t="shared" ca="1" si="10"/>
        <v>0</v>
      </c>
      <c r="W17">
        <f t="shared" ca="1" si="11"/>
        <v>0</v>
      </c>
      <c r="X17">
        <f t="shared" ca="1" si="12"/>
        <v>0</v>
      </c>
      <c r="Y17">
        <f t="shared" ca="1" si="13"/>
        <v>0</v>
      </c>
      <c r="Z17" s="5">
        <f ca="1">PIT!H19+PIT!H33+PIT!H47+PIT!H61+'PIT - NRPY'!H19+'PIT - NRPY'!H33+'PIT - NRPY'!H47+'PIT - NRPY'!H61</f>
        <v>0</v>
      </c>
    </row>
    <row r="18" spans="1:26" x14ac:dyDescent="0.25">
      <c r="B18" s="5"/>
    </row>
    <row r="20" spans="1:26" ht="45.75" thickBot="1" x14ac:dyDescent="0.3">
      <c r="N20" s="47" t="s">
        <v>401</v>
      </c>
      <c r="O20" s="46">
        <f t="shared" ref="O20:U20" ca="1" si="14">O7*$B7+O8*$B8+O9*$B9+O10*$B10+O11*$B11+O12*$B12+O13*$B13</f>
        <v>444740903.55815077</v>
      </c>
      <c r="P20" s="46">
        <f t="shared" ca="1" si="14"/>
        <v>2662597658.5761466</v>
      </c>
      <c r="Q20" s="46">
        <f t="shared" ca="1" si="14"/>
        <v>1567428051.7553785</v>
      </c>
      <c r="R20" s="46">
        <f t="shared" ca="1" si="14"/>
        <v>1028153863.3009384</v>
      </c>
      <c r="S20" s="46">
        <f t="shared" ca="1" si="14"/>
        <v>238800278.05306816</v>
      </c>
      <c r="T20" s="46">
        <f t="shared" ca="1" si="14"/>
        <v>641046437.57004476</v>
      </c>
      <c r="U20" s="46">
        <f t="shared" ca="1" si="14"/>
        <v>2239744021.1862731</v>
      </c>
      <c r="V20" s="46"/>
      <c r="W20" s="46"/>
      <c r="X20" s="46"/>
      <c r="Y20" s="46"/>
      <c r="Z20" s="46"/>
    </row>
    <row r="21" spans="1:26" ht="15.75" thickTop="1" x14ac:dyDescent="0.25"/>
    <row r="22" spans="1:26" ht="30.75" thickBot="1" x14ac:dyDescent="0.3">
      <c r="C22" s="5"/>
      <c r="D22" s="5"/>
      <c r="E22" s="5"/>
      <c r="F22" s="5"/>
      <c r="G22" s="5"/>
      <c r="H22" s="5"/>
      <c r="I22" s="5"/>
      <c r="N22" s="47" t="s">
        <v>398</v>
      </c>
      <c r="O22" s="46">
        <f ca="1">O20-Z7</f>
        <v>444740903.55815077</v>
      </c>
      <c r="P22" s="46">
        <f ca="1">P20-Z8</f>
        <v>2662597658.5761466</v>
      </c>
      <c r="Q22" s="46">
        <f ca="1">Q20-Z9</f>
        <v>1567428051.7553785</v>
      </c>
      <c r="R22" s="46">
        <f ca="1">R20-Z10</f>
        <v>1028153863.3009384</v>
      </c>
      <c r="S22" s="46">
        <f ca="1">S20-Z11</f>
        <v>228421131.84106818</v>
      </c>
      <c r="T22" s="46">
        <f ca="1">T20-Z12</f>
        <v>462039219.31154478</v>
      </c>
      <c r="U22" s="46">
        <f ca="1">U20-Z13</f>
        <v>2063063491.1862731</v>
      </c>
      <c r="V22" s="46"/>
      <c r="W22" s="46"/>
      <c r="X22" s="46"/>
      <c r="Y22" s="46"/>
      <c r="Z22" s="46">
        <f ca="1">SUM(Z7:Z17)</f>
        <v>366066894.47049999</v>
      </c>
    </row>
    <row r="23" spans="1:26" ht="15.75" thickTop="1" x14ac:dyDescent="0.25">
      <c r="B23" s="5"/>
    </row>
    <row r="24" spans="1:26" ht="45.75" thickBot="1" x14ac:dyDescent="0.3">
      <c r="B24" s="5"/>
      <c r="N24" s="47" t="s">
        <v>399</v>
      </c>
      <c r="O24" s="46">
        <f ca="1">O22*Console!$J$7</f>
        <v>610049149.96756721</v>
      </c>
      <c r="P24" s="46">
        <f ca="1">P22*Console!$J$7</f>
        <v>3652273549.2163482</v>
      </c>
      <c r="Q24" s="46">
        <f ca="1">Q22*Console!$J$7</f>
        <v>2150034195.0977359</v>
      </c>
      <c r="R24" s="46">
        <f ca="1">R22*Console!$J$7</f>
        <v>1410314152.1827593</v>
      </c>
      <c r="S24" s="46">
        <f ca="1">S22*Console!$J$7</f>
        <v>313324266.32994235</v>
      </c>
      <c r="T24" s="46">
        <f ca="1">T22*Console!$J$7</f>
        <v>633777173.94017839</v>
      </c>
      <c r="U24" s="46">
        <f ca="1">U22*Console!$J$7</f>
        <v>2829895157.0636158</v>
      </c>
      <c r="V24" s="46"/>
      <c r="W24" s="46"/>
      <c r="X24" s="46"/>
      <c r="Y24" s="46"/>
      <c r="Z24" s="46">
        <f ca="1">Z22*Console!$J$7</f>
        <v>502132356.20185375</v>
      </c>
    </row>
    <row r="25" spans="1:26" ht="15.75" thickTop="1" x14ac:dyDescent="0.25">
      <c r="B25" s="5"/>
    </row>
    <row r="26" spans="1:26" x14ac:dyDescent="0.25">
      <c r="B26" s="5"/>
      <c r="I26" s="97" t="s">
        <v>599</v>
      </c>
    </row>
    <row r="27" spans="1:26" x14ac:dyDescent="0.25">
      <c r="B27" s="5"/>
    </row>
    <row r="28" spans="1:26" x14ac:dyDescent="0.25">
      <c r="B28" s="5"/>
    </row>
    <row r="29" spans="1:26" x14ac:dyDescent="0.25">
      <c r="B29" s="5"/>
      <c r="O29" s="8"/>
      <c r="P29" s="8"/>
      <c r="Q29" s="8"/>
      <c r="R29" s="8"/>
      <c r="S29" s="8"/>
      <c r="T29" s="8"/>
      <c r="U29" s="8"/>
    </row>
    <row r="31" spans="1:26" x14ac:dyDescent="0.25">
      <c r="B31" s="5"/>
      <c r="D31" s="5"/>
      <c r="F31" s="5"/>
      <c r="H31" s="5"/>
      <c r="J31" s="5"/>
      <c r="O31" s="5"/>
    </row>
    <row r="32" spans="1:26" x14ac:dyDescent="0.25">
      <c r="B32" s="5"/>
      <c r="D32" s="5"/>
      <c r="F32" s="5"/>
      <c r="H32" s="5"/>
      <c r="J32" s="5"/>
      <c r="O32" s="5"/>
    </row>
    <row r="33" spans="2:15" x14ac:dyDescent="0.25">
      <c r="B33" s="5"/>
      <c r="D33" s="5"/>
      <c r="F33" s="5"/>
      <c r="H33" s="5"/>
      <c r="J33" s="5"/>
      <c r="O33" s="5"/>
    </row>
    <row r="34" spans="2:15" x14ac:dyDescent="0.25">
      <c r="B34" s="5"/>
      <c r="D34" s="5"/>
      <c r="F34" s="5"/>
      <c r="H34" s="5"/>
      <c r="J34" s="5"/>
      <c r="O34" s="5"/>
    </row>
    <row r="35" spans="2:15" x14ac:dyDescent="0.25">
      <c r="B35" s="5"/>
      <c r="D35" s="5"/>
      <c r="F35" s="5"/>
      <c r="H35" s="5"/>
      <c r="J35" s="5"/>
      <c r="O35" s="5"/>
    </row>
    <row r="36" spans="2:15" x14ac:dyDescent="0.25">
      <c r="B36" s="5"/>
      <c r="D36" s="5"/>
      <c r="F36" s="5"/>
      <c r="H36" s="5"/>
      <c r="J36" s="5"/>
      <c r="O36" s="5"/>
    </row>
    <row r="37" spans="2:15" x14ac:dyDescent="0.25">
      <c r="B37" s="5"/>
      <c r="D37" s="5"/>
      <c r="F37" s="5"/>
      <c r="H37" s="5"/>
      <c r="J37" s="5"/>
      <c r="O37" s="5"/>
    </row>
    <row r="38" spans="2:15" x14ac:dyDescent="0.25">
      <c r="F38" s="5"/>
      <c r="H38" s="5"/>
    </row>
    <row r="40" spans="2:15" x14ac:dyDescent="0.25">
      <c r="B40" s="5"/>
      <c r="F40"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 Page</vt:lpstr>
      <vt:lpstr>Sources</vt:lpstr>
      <vt:lpstr>Tableau - Slides</vt:lpstr>
      <vt:lpstr>Consensus Est.</vt:lpstr>
      <vt:lpstr>Tableau - Rates</vt:lpstr>
      <vt:lpstr>Console</vt:lpstr>
      <vt:lpstr>PIT</vt:lpstr>
      <vt:lpstr>PIT - NRPY</vt:lpstr>
      <vt:lpstr>PIT - Total</vt:lpstr>
      <vt:lpstr>Other Tax Rates</vt:lpstr>
      <vt:lpstr>Tax Expenditures</vt:lpstr>
      <vt:lpstr>Single - 1040</vt:lpstr>
      <vt:lpstr>Joint - 1040</vt:lpstr>
      <vt:lpstr>Married Sep. - 1040</vt:lpstr>
      <vt:lpstr>Head of House - 1040</vt:lpstr>
      <vt:lpstr>Single - NRPY</vt:lpstr>
      <vt:lpstr>Joint - NRPY</vt:lpstr>
      <vt:lpstr>Married Sep. - NRPY</vt:lpstr>
      <vt:lpstr>Head of House - NRPY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dc:creator>
  <cp:lastModifiedBy>Ashley Robles</cp:lastModifiedBy>
  <dcterms:created xsi:type="dcterms:W3CDTF">2018-02-07T14:31:54Z</dcterms:created>
  <dcterms:modified xsi:type="dcterms:W3CDTF">2022-02-03T20:39:26Z</dcterms:modified>
</cp:coreProperties>
</file>